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BP\CRITERES DE PEC\Critères 2021\"/>
    </mc:Choice>
  </mc:AlternateContent>
  <xr:revisionPtr revIDLastSave="0" documentId="13_ncr:1_{0A5EC680-1BAE-4352-A72F-A3024C3F6CD5}" xr6:coauthVersionLast="46" xr6:coauthVersionMax="46" xr10:uidLastSave="{00000000-0000-0000-0000-000000000000}"/>
  <workbookProtection workbookAlgorithmName="SHA-512" workbookHashValue="tov0nctjoQj0+jU+AhsvQGpWOQZ8riOwwA5rB8WjzEsPTXkGaSH7NDO0p3g6E0TexkmuxuOeeICuAshCTPrkbA==" workbookSaltValue="DaxXMgJr1CAY5q/CSCTTbA==" workbookSpinCount="100000" lockStructure="1"/>
  <bookViews>
    <workbookView xWindow="-108" yWindow="-108" windowWidth="23256" windowHeight="12576" tabRatio="935" xr2:uid="{00000000-000D-0000-FFFF-FFFF00000000}"/>
  </bookViews>
  <sheets>
    <sheet name="SOMMAIRE" sheetId="19" r:id="rId1"/>
    <sheet name="DUREE" sheetId="8" r:id="rId2"/>
    <sheet name="LEGAL" sheetId="14" r:id="rId3"/>
    <sheet name="Agents généraux d'assurance" sheetId="7" r:id="rId4"/>
    <sheet name="Banque" sheetId="4" r:id="rId5"/>
    <sheet name="Banque populaire" sheetId="10" r:id="rId6"/>
    <sheet name="Bureaux d'études" sheetId="16" r:id="rId7"/>
    <sheet name="Caisse d'épargne" sheetId="11" r:id="rId8"/>
    <sheet name="Courtage d'assurance" sheetId="9" r:id="rId9"/>
    <sheet name="Crédit mutuel" sheetId="13" r:id="rId10"/>
    <sheet name="Economistes de la construction" sheetId="15" r:id="rId11"/>
    <sheet name="Experts comptables et CAC" sheetId="12" r:id="rId12"/>
    <sheet name="Géomètres experts" sheetId="20" r:id="rId13"/>
    <sheet name="Sociétés d'assistance" sheetId="6" r:id="rId14"/>
    <sheet name="Sociétés d'assurance" sheetId="5" r:id="rId15"/>
    <sheet name="Sociétés financières" sheetId="18" r:id="rId16"/>
  </sheets>
  <definedNames>
    <definedName name="_ftn1" localSheetId="6">'Bureaux d''études'!$A$36</definedName>
    <definedName name="_ftnref1" localSheetId="6">'Bureaux d''études'!#REF!</definedName>
    <definedName name="_xlnm.Print_Area" localSheetId="3">'Agents généraux d''assurance'!$A$1:$H$37</definedName>
    <definedName name="_xlnm.Print_Area" localSheetId="4">Banque!$A$1:$F$46</definedName>
    <definedName name="_xlnm.Print_Area" localSheetId="5">'Banque populaire'!$A$1:$G$40</definedName>
    <definedName name="_xlnm.Print_Area" localSheetId="6">'Bureaux d''études'!$A$1:$K$49</definedName>
    <definedName name="_xlnm.Print_Area" localSheetId="7">'Caisse d''épargne'!$A$1:$F$38</definedName>
    <definedName name="_xlnm.Print_Area" localSheetId="8">'Courtage d''assurance'!$A$1:$H$35</definedName>
    <definedName name="_xlnm.Print_Area" localSheetId="9">'Crédit mutuel'!$A$1:$E$43</definedName>
    <definedName name="_xlnm.Print_Area" localSheetId="1">DUREE!$A$1:$H$34</definedName>
    <definedName name="_xlnm.Print_Area" localSheetId="10">'Economistes de la construction'!$A$1:$J$38</definedName>
    <definedName name="_xlnm.Print_Area" localSheetId="11">'Experts comptables et CAC'!$A$1:$H$59</definedName>
    <definedName name="_xlnm.Print_Area" localSheetId="12">'Géomètres experts'!$A$1:$H$27</definedName>
    <definedName name="_xlnm.Print_Area" localSheetId="2">LEGAL!$A$1:$H$18</definedName>
    <definedName name="_xlnm.Print_Area" localSheetId="13">'Sociétés d''assistance'!$A$1:$F$39</definedName>
    <definedName name="_xlnm.Print_Area" localSheetId="14">'Sociétés d''assurance'!$A$1:$H$43</definedName>
    <definedName name="_xlnm.Print_Area" localSheetId="15">'Sociétés financières'!$A$1:$H$19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2" l="1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32" i="12"/>
  <c r="B23" i="12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D16" i="10"/>
  <c r="C16" i="10"/>
  <c r="F21" i="12"/>
  <c r="D21" i="12"/>
  <c r="B21" i="12"/>
  <c r="F19" i="12"/>
  <c r="D19" i="12"/>
  <c r="B19" i="12"/>
  <c r="F17" i="12"/>
  <c r="D17" i="12"/>
  <c r="B17" i="12"/>
  <c r="F15" i="12"/>
  <c r="D15" i="12"/>
  <c r="B15" i="12"/>
  <c r="D18" i="9"/>
  <c r="D25" i="15"/>
  <c r="H25" i="15" s="1"/>
  <c r="G12" i="14"/>
  <c r="E27" i="13"/>
  <c r="E26" i="13"/>
  <c r="E25" i="13"/>
  <c r="E24" i="13"/>
  <c r="E23" i="13"/>
  <c r="E22" i="13"/>
  <c r="E21" i="13"/>
  <c r="E20" i="13"/>
  <c r="E19" i="13"/>
  <c r="E18" i="13"/>
  <c r="E17" i="13"/>
  <c r="E26" i="11"/>
  <c r="E25" i="11"/>
  <c r="E24" i="11"/>
  <c r="E23" i="11"/>
  <c r="E22" i="11"/>
  <c r="E21" i="11"/>
  <c r="E20" i="11"/>
  <c r="E19" i="11"/>
  <c r="E18" i="11"/>
  <c r="E17" i="11"/>
  <c r="E16" i="11"/>
  <c r="D32" i="4"/>
  <c r="D31" i="4"/>
  <c r="D30" i="4"/>
  <c r="D29" i="4"/>
  <c r="D28" i="4"/>
  <c r="D27" i="4"/>
  <c r="D26" i="4"/>
  <c r="D25" i="4"/>
  <c r="D24" i="4"/>
  <c r="D23" i="4"/>
  <c r="D22" i="4"/>
  <c r="C31" i="4"/>
  <c r="C32" i="4"/>
  <c r="C30" i="4"/>
  <c r="C29" i="4"/>
  <c r="C28" i="4"/>
  <c r="C27" i="4"/>
  <c r="C26" i="4"/>
  <c r="C25" i="4"/>
  <c r="C24" i="4"/>
  <c r="C23" i="4"/>
  <c r="C22" i="4"/>
  <c r="D23" i="9"/>
  <c r="D22" i="9"/>
  <c r="D21" i="9"/>
  <c r="D20" i="9"/>
  <c r="D19" i="9"/>
  <c r="C17" i="9"/>
  <c r="C16" i="9"/>
  <c r="D17" i="9"/>
  <c r="C23" i="9"/>
  <c r="C22" i="9"/>
  <c r="C21" i="9"/>
  <c r="C20" i="9"/>
  <c r="C19" i="9"/>
  <c r="C18" i="9"/>
  <c r="D16" i="9"/>
  <c r="E24" i="6"/>
  <c r="E23" i="6"/>
  <c r="E22" i="6"/>
  <c r="E21" i="6"/>
  <c r="E20" i="6"/>
  <c r="E19" i="6"/>
  <c r="E18" i="6"/>
  <c r="E17" i="6"/>
  <c r="E16" i="6"/>
  <c r="G26" i="7"/>
  <c r="G25" i="7"/>
  <c r="G24" i="7"/>
  <c r="G23" i="7"/>
  <c r="G22" i="7"/>
  <c r="G21" i="7"/>
  <c r="G20" i="7"/>
  <c r="G27" i="5"/>
  <c r="G26" i="5"/>
  <c r="G25" i="5"/>
  <c r="G24" i="5"/>
  <c r="G23" i="5"/>
  <c r="G22" i="5"/>
  <c r="G21" i="5"/>
  <c r="I25" i="15"/>
  <c r="K19" i="16"/>
  <c r="K18" i="16"/>
  <c r="K25" i="16"/>
  <c r="K24" i="16"/>
  <c r="K23" i="16"/>
  <c r="K22" i="16"/>
  <c r="K21" i="16"/>
  <c r="K20" i="16"/>
  <c r="K17" i="16"/>
  <c r="K16" i="16"/>
  <c r="I16" i="16"/>
  <c r="C12" i="14"/>
  <c r="E32" i="4"/>
  <c r="E28" i="4"/>
  <c r="E29" i="4"/>
  <c r="E30" i="4"/>
  <c r="E31" i="4"/>
  <c r="E27" i="4"/>
  <c r="E26" i="4"/>
  <c r="E25" i="4"/>
  <c r="E23" i="4"/>
  <c r="E24" i="4"/>
  <c r="E22" i="4"/>
  <c r="E12" i="14"/>
  <c r="I24" i="16"/>
  <c r="I25" i="16"/>
  <c r="I23" i="16"/>
  <c r="I22" i="16"/>
  <c r="I21" i="16"/>
  <c r="I20" i="16"/>
  <c r="I19" i="16"/>
  <c r="I18" i="16"/>
  <c r="I17" i="16"/>
  <c r="D18" i="11"/>
  <c r="D18" i="13"/>
  <c r="D19" i="13"/>
  <c r="D20" i="13"/>
  <c r="D21" i="13"/>
  <c r="D22" i="13"/>
  <c r="D23" i="13"/>
  <c r="D24" i="13"/>
  <c r="D25" i="13"/>
  <c r="D26" i="13"/>
  <c r="D27" i="13"/>
  <c r="D17" i="13"/>
  <c r="C18" i="13"/>
  <c r="C19" i="13"/>
  <c r="C20" i="13"/>
  <c r="C21" i="13"/>
  <c r="C22" i="13"/>
  <c r="C23" i="13"/>
  <c r="C24" i="13"/>
  <c r="C25" i="13"/>
  <c r="C26" i="13"/>
  <c r="C27" i="13"/>
  <c r="C17" i="13"/>
  <c r="C24" i="6"/>
  <c r="E23" i="7"/>
  <c r="D17" i="11"/>
  <c r="D19" i="11"/>
  <c r="D20" i="11"/>
  <c r="D21" i="11"/>
  <c r="D22" i="11"/>
  <c r="D23" i="11"/>
  <c r="D24" i="11"/>
  <c r="D25" i="11"/>
  <c r="D26" i="11"/>
  <c r="D16" i="11"/>
  <c r="C17" i="11"/>
  <c r="C18" i="11"/>
  <c r="C19" i="11"/>
  <c r="C20" i="11"/>
  <c r="C21" i="11"/>
  <c r="C22" i="11"/>
  <c r="C23" i="11"/>
  <c r="C24" i="11"/>
  <c r="C25" i="11"/>
  <c r="C26" i="11"/>
  <c r="C16" i="11"/>
  <c r="C25" i="7"/>
  <c r="D25" i="7"/>
  <c r="E25" i="7"/>
  <c r="F25" i="7"/>
  <c r="H27" i="15"/>
  <c r="H26" i="15"/>
  <c r="J18" i="15"/>
  <c r="J19" i="15"/>
  <c r="J20" i="15"/>
  <c r="J17" i="15"/>
  <c r="H18" i="15"/>
  <c r="H19" i="15"/>
  <c r="H20" i="15"/>
  <c r="H17" i="15"/>
  <c r="F18" i="15"/>
  <c r="F19" i="15"/>
  <c r="F20" i="15"/>
  <c r="F17" i="15"/>
  <c r="E13" i="14"/>
  <c r="C13" i="14"/>
  <c r="B30" i="8"/>
  <c r="G30" i="8" s="1"/>
  <c r="B29" i="8"/>
  <c r="E29" i="8" s="1"/>
  <c r="B28" i="8"/>
  <c r="C28" i="8" s="1"/>
  <c r="B27" i="8"/>
  <c r="C27" i="8" s="1"/>
  <c r="B26" i="8"/>
  <c r="E26" i="8" s="1"/>
  <c r="B25" i="8"/>
  <c r="G25" i="8" s="1"/>
  <c r="B24" i="8"/>
  <c r="D24" i="8" s="1"/>
  <c r="B23" i="8"/>
  <c r="H23" i="8" s="1"/>
  <c r="B22" i="8"/>
  <c r="C22" i="8" s="1"/>
  <c r="B21" i="8"/>
  <c r="D21" i="8" s="1"/>
  <c r="B20" i="8"/>
  <c r="G20" i="8" s="1"/>
  <c r="B19" i="8"/>
  <c r="E19" i="8" s="1"/>
  <c r="B18" i="8"/>
  <c r="C18" i="8" s="1"/>
  <c r="B17" i="8"/>
  <c r="G17" i="8" s="1"/>
  <c r="B16" i="8"/>
  <c r="E16" i="8" s="1"/>
  <c r="B15" i="8"/>
  <c r="E15" i="8" s="1"/>
  <c r="B14" i="8"/>
  <c r="F14" i="8" s="1"/>
  <c r="B13" i="8"/>
  <c r="C13" i="8" s="1"/>
  <c r="B12" i="8"/>
  <c r="E12" i="8" s="1"/>
  <c r="G24" i="8"/>
  <c r="H24" i="8"/>
  <c r="C24" i="8"/>
  <c r="F20" i="7"/>
  <c r="E20" i="7"/>
  <c r="D20" i="7"/>
  <c r="C20" i="7"/>
  <c r="D17" i="6"/>
  <c r="D18" i="6"/>
  <c r="D19" i="6"/>
  <c r="D20" i="6"/>
  <c r="D21" i="6"/>
  <c r="D22" i="6"/>
  <c r="D23" i="6"/>
  <c r="D24" i="6"/>
  <c r="C17" i="6"/>
  <c r="C18" i="6"/>
  <c r="C19" i="6"/>
  <c r="C20" i="6"/>
  <c r="C21" i="6"/>
  <c r="C22" i="6"/>
  <c r="C23" i="6"/>
  <c r="D16" i="6"/>
  <c r="C16" i="6"/>
  <c r="E21" i="7"/>
  <c r="E22" i="7"/>
  <c r="E24" i="7"/>
  <c r="E26" i="7"/>
  <c r="D21" i="7"/>
  <c r="D22" i="7"/>
  <c r="D23" i="7"/>
  <c r="D24" i="7"/>
  <c r="D26" i="7"/>
  <c r="E22" i="5"/>
  <c r="E23" i="5"/>
  <c r="E24" i="5"/>
  <c r="E25" i="5"/>
  <c r="E26" i="5"/>
  <c r="E27" i="5"/>
  <c r="E21" i="5"/>
  <c r="D22" i="5"/>
  <c r="D23" i="5"/>
  <c r="D24" i="5"/>
  <c r="D25" i="5"/>
  <c r="D26" i="5"/>
  <c r="D27" i="5"/>
  <c r="D21" i="5"/>
  <c r="C27" i="5"/>
  <c r="F27" i="5"/>
  <c r="F26" i="5"/>
  <c r="C26" i="5"/>
  <c r="F25" i="5"/>
  <c r="C25" i="5"/>
  <c r="F24" i="5"/>
  <c r="C24" i="5"/>
  <c r="F23" i="5"/>
  <c r="C23" i="5"/>
  <c r="F22" i="5"/>
  <c r="C22" i="5"/>
  <c r="F21" i="5"/>
  <c r="C21" i="5"/>
  <c r="F21" i="7"/>
  <c r="F22" i="7"/>
  <c r="F23" i="7"/>
  <c r="F24" i="7"/>
  <c r="F26" i="7"/>
  <c r="C21" i="7"/>
  <c r="C22" i="7"/>
  <c r="C23" i="7"/>
  <c r="C24" i="7"/>
  <c r="C26" i="7"/>
  <c r="E13" i="7"/>
  <c r="C13" i="7"/>
  <c r="C15" i="5"/>
  <c r="E15" i="4"/>
  <c r="C15" i="4"/>
  <c r="E24" i="8" l="1"/>
  <c r="F24" i="8"/>
  <c r="C23" i="8"/>
  <c r="F25" i="15"/>
  <c r="F26" i="15"/>
  <c r="F27" i="15"/>
  <c r="C25" i="8"/>
  <c r="F25" i="8"/>
  <c r="E25" i="8"/>
  <c r="H25" i="8"/>
  <c r="D25" i="8"/>
  <c r="G29" i="8"/>
  <c r="C30" i="8"/>
  <c r="E22" i="8"/>
  <c r="G21" i="8"/>
  <c r="G22" i="8"/>
  <c r="F22" i="8"/>
  <c r="D16" i="8"/>
  <c r="F15" i="8"/>
  <c r="G13" i="8"/>
  <c r="F16" i="8"/>
  <c r="D15" i="8"/>
  <c r="C16" i="8"/>
  <c r="H15" i="8"/>
  <c r="D13" i="8"/>
  <c r="G15" i="8"/>
  <c r="C20" i="8"/>
  <c r="D26" i="8"/>
  <c r="D18" i="8"/>
  <c r="H19" i="8"/>
  <c r="C19" i="8"/>
  <c r="G23" i="8"/>
  <c r="F23" i="8"/>
  <c r="F19" i="8"/>
  <c r="H22" i="8"/>
  <c r="D14" i="8"/>
  <c r="H26" i="8"/>
  <c r="E17" i="8"/>
  <c r="G18" i="8"/>
  <c r="F17" i="8"/>
  <c r="E18" i="8"/>
  <c r="C17" i="8"/>
  <c r="H16" i="8"/>
  <c r="C26" i="8"/>
  <c r="H17" i="8"/>
  <c r="D17" i="8"/>
  <c r="H18" i="8"/>
  <c r="G16" i="8"/>
  <c r="F26" i="8"/>
  <c r="D20" i="8"/>
  <c r="E27" i="8"/>
  <c r="F27" i="8"/>
  <c r="H12" i="8"/>
  <c r="F18" i="8"/>
  <c r="F20" i="8"/>
  <c r="G26" i="8"/>
  <c r="F12" i="8"/>
  <c r="F21" i="8"/>
  <c r="E23" i="8"/>
  <c r="D19" i="8"/>
  <c r="F29" i="8"/>
  <c r="E30" i="8"/>
  <c r="E20" i="8"/>
  <c r="G19" i="8"/>
  <c r="G27" i="8"/>
  <c r="H21" i="8"/>
  <c r="D12" i="8"/>
  <c r="D22" i="8"/>
  <c r="G12" i="8"/>
  <c r="C21" i="8"/>
  <c r="E21" i="8"/>
  <c r="H29" i="8"/>
  <c r="H27" i="8"/>
  <c r="F13" i="8"/>
  <c r="H28" i="8"/>
  <c r="G14" i="8"/>
  <c r="D27" i="8"/>
  <c r="C15" i="8"/>
  <c r="H30" i="8"/>
  <c r="H14" i="8"/>
  <c r="F28" i="8"/>
  <c r="E14" i="8"/>
  <c r="C29" i="8"/>
  <c r="E13" i="8"/>
  <c r="D29" i="8"/>
  <c r="H13" i="8"/>
  <c r="D23" i="8"/>
  <c r="D28" i="8"/>
  <c r="C14" i="8"/>
  <c r="E28" i="8"/>
  <c r="F30" i="8"/>
  <c r="G28" i="8"/>
  <c r="H20" i="8"/>
  <c r="D30" i="8"/>
</calcChain>
</file>

<file path=xl/sharedStrings.xml><?xml version="1.0" encoding="utf-8"?>
<sst xmlns="http://schemas.openxmlformats.org/spreadsheetml/2006/main" count="620" uniqueCount="346">
  <si>
    <t>A</t>
  </si>
  <si>
    <t>Classif.</t>
  </si>
  <si>
    <t xml:space="preserve">C </t>
  </si>
  <si>
    <t>21 à 25 ans</t>
  </si>
  <si>
    <t xml:space="preserve"> - 21 ans</t>
  </si>
  <si>
    <t>35 h</t>
  </si>
  <si>
    <t>39 h</t>
  </si>
  <si>
    <t xml:space="preserve">B </t>
  </si>
  <si>
    <t xml:space="preserve">D </t>
  </si>
  <si>
    <t>E</t>
  </si>
  <si>
    <t>F</t>
  </si>
  <si>
    <t>G</t>
  </si>
  <si>
    <t>CCN
Annuel</t>
  </si>
  <si>
    <t>H</t>
  </si>
  <si>
    <t>I</t>
  </si>
  <si>
    <t>J</t>
  </si>
  <si>
    <t>K</t>
  </si>
  <si>
    <t>Base de calcul :</t>
  </si>
  <si>
    <t>Mise à jour :</t>
  </si>
  <si>
    <t>13 fois 70% du SMIC mensuel</t>
  </si>
  <si>
    <t>13 fois 80% du SMIC mensuel</t>
  </si>
  <si>
    <t>Tous niveaux</t>
  </si>
  <si>
    <t xml:space="preserve">Branche : </t>
  </si>
  <si>
    <t>Salaire mensuel sur 12 mois</t>
  </si>
  <si>
    <t>Calcul du salaire annuel :</t>
  </si>
  <si>
    <t>35 heures hebdomadaires</t>
  </si>
  <si>
    <r>
      <t xml:space="preserve">Salarié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26 ans, tous niveaux : </t>
    </r>
  </si>
  <si>
    <t xml:space="preserve">Salarié &lt; 26 ans et &lt; Bac : </t>
  </si>
  <si>
    <t>Salarié &lt; 26 ans et ≥ Bac :</t>
  </si>
  <si>
    <t>Sources :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</si>
  <si>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Bac général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</si>
  <si>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Bac pro</t>
    </r>
  </si>
  <si>
    <t xml:space="preserve">Salarié &lt; 21 ans et ≤ Bac général : </t>
  </si>
  <si>
    <t xml:space="preserve">Salarié &lt; 21 ans et ≥ Bac pro : </t>
  </si>
  <si>
    <t xml:space="preserve">Salarié 21-25 ans et ≤ Bac général : </t>
  </si>
  <si>
    <t>Salarié 21-25 ans et  ≥ Bac pro :</t>
  </si>
  <si>
    <t>&lt; 21 ans</t>
  </si>
  <si>
    <t>Salarié 21-25 ans :</t>
  </si>
  <si>
    <r>
      <t xml:space="preserve">Salarié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26 ans : </t>
    </r>
  </si>
  <si>
    <t xml:space="preserve">Salarié &lt; 21 ans : </t>
  </si>
  <si>
    <r>
      <t xml:space="preserve">Salarié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26 ans, tous niveaux : </t>
    </r>
  </si>
  <si>
    <t>55% de la rémunération minimale conventionnelle</t>
  </si>
  <si>
    <t>70% de la rémunération minimale conventionnelle</t>
  </si>
  <si>
    <t>65% de la rémunération minimale conventionnelle</t>
  </si>
  <si>
    <t>80% de la rémunération minimale conventionnelle</t>
  </si>
  <si>
    <r>
      <t xml:space="preserve">21 à 25 ans
</t>
    </r>
    <r>
      <rPr>
        <b/>
        <sz val="10"/>
        <rFont val="Arial"/>
        <family val="2"/>
      </rPr>
      <t>niveau intial</t>
    </r>
  </si>
  <si>
    <t>* Accord de branche étendu le 1er juillet 2017 : JORF n°0153</t>
  </si>
  <si>
    <t>100% de la rémunération minimale conventionnelle</t>
  </si>
  <si>
    <t>100% de la rémunération minimale conventionnelle  si ≥ SMIC annuel</t>
  </si>
  <si>
    <t>* Avenant n°43 à la convention collective nationales des sociétés d'assistance du 19 Avril 2019.</t>
  </si>
  <si>
    <t>Base durée du travail</t>
  </si>
  <si>
    <t>HEURES 
DE FORMATION</t>
  </si>
  <si>
    <t>Nombre de mois</t>
  </si>
  <si>
    <t>Nbre d'heures
travaillées</t>
  </si>
  <si>
    <t>Classe A</t>
  </si>
  <si>
    <t>Classe B</t>
  </si>
  <si>
    <t>Classe C</t>
  </si>
  <si>
    <t>Classe D</t>
  </si>
  <si>
    <t>Classe E</t>
  </si>
  <si>
    <t>Classe F</t>
  </si>
  <si>
    <t>Classe G</t>
  </si>
  <si>
    <t>Classe H</t>
  </si>
  <si>
    <t>&lt;26 ans</t>
  </si>
  <si>
    <t>&gt;26 ans</t>
  </si>
  <si>
    <t>CCN Annuel</t>
  </si>
  <si>
    <t>70% du minimum conventionnel (sans pouvoir être inférieur à 80% SMIC)</t>
  </si>
  <si>
    <t>85% du minimum conventionnel (sans pouvoir être inférieur à 100% SMIC)</t>
  </si>
  <si>
    <t xml:space="preserve">Salarié &lt; 26 ans : </t>
  </si>
  <si>
    <t>montant non inférieur à 13 x 70 % du Smic</t>
  </si>
  <si>
    <t>montant non inférieur à 13 x 80 % du Smic</t>
  </si>
  <si>
    <t>Salarié &lt; 26 ans Titulaire du BAC</t>
  </si>
  <si>
    <t>* Accord du 8 septembre 2017 relatif à la formation professionnelle</t>
  </si>
  <si>
    <t>70% de la rémunération minimale de la classification de leur emploi</t>
  </si>
  <si>
    <t>80% de la rémunération minimale de la classification de leur emploi</t>
  </si>
  <si>
    <t>* Accord du 18 Novembre septembre 2014 relatif à la formation professionnelle</t>
  </si>
  <si>
    <t>heures mensuelles</t>
  </si>
  <si>
    <t>Qualification inférieure à Bac pro, titre ou diplôme à finalité professionnelle de même niveau</t>
  </si>
  <si>
    <t>Qualification au moins égale à celle du Bac pro, ou d’un titre ou diplôme à finalité professionnelles de même niveau</t>
  </si>
  <si>
    <t>Qualification au moins égale à un diplôme Bac+3</t>
  </si>
  <si>
    <t>Jeunes âgés de moins de 21 ans</t>
  </si>
  <si>
    <r>
      <t>55% du SMIC pendant la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</t>
    </r>
  </si>
  <si>
    <r>
      <t>65% du SMIC pendant la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</t>
    </r>
  </si>
  <si>
    <r>
      <t>80% du SMIC pendant la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</t>
    </r>
  </si>
  <si>
    <t>Jeunes âgés de 21 à 25 ans</t>
  </si>
  <si>
    <r>
      <t>70% du SMIC pendant la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</t>
    </r>
  </si>
  <si>
    <r>
      <t>85% du SMIC pendant la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</t>
    </r>
  </si>
  <si>
    <t>Salariés de 26 ans et plus</t>
  </si>
  <si>
    <t>2 planchers à respecter : 85% de la rémunération minimale conventionnelle pour le coefficient attribué et le SMIC</t>
  </si>
  <si>
    <t>65% du SMIC pendant les années suivantes</t>
  </si>
  <si>
    <t>70% du SMIC pendant les années suivantes</t>
  </si>
  <si>
    <t>85% du SMIC pendant les années suivantes</t>
  </si>
  <si>
    <t>80% du SMIC pendant les années suivantes</t>
  </si>
  <si>
    <t>90% du SMIC pendant les années suivantes</t>
  </si>
  <si>
    <t>Cette rémunération passe à 80 % lorsque le salarié est titulaire d’un baccalauréat, d’un titre ou</t>
  </si>
  <si>
    <t>d’un diplôme à finalité professionnelle de niveau équivalent.</t>
  </si>
  <si>
    <t>Niveau de départ</t>
  </si>
  <si>
    <t>De 21 à 25 ans</t>
  </si>
  <si>
    <r>
      <t>³</t>
    </r>
    <r>
      <rPr>
        <b/>
        <sz val="9"/>
        <rFont val="Arial"/>
        <family val="2"/>
      </rPr>
      <t xml:space="preserve"> 26 ans</t>
    </r>
  </si>
  <si>
    <t>65% du SMIC</t>
  </si>
  <si>
    <t>80% du SMIC</t>
  </si>
  <si>
    <t>SMIC</t>
  </si>
  <si>
    <t>Ou 85% du minimum conventionnel (retenir le plus élevé des deux)</t>
  </si>
  <si>
    <t>55% du SMIC</t>
  </si>
  <si>
    <t>70% du SMIC</t>
  </si>
  <si>
    <t>CONTRAT DE PROFESSIONNALISATION</t>
  </si>
  <si>
    <t>ACCORD DU 22 SEPTEMBRE 2015 RELATIF À LA FORMATION PROFESSIONNELLE</t>
  </si>
  <si>
    <t>Diplôme ou titre visé</t>
  </si>
  <si>
    <t>16-20 ans</t>
  </si>
  <si>
    <t>21-25 ans</t>
  </si>
  <si>
    <t>26 ans et +</t>
  </si>
  <si>
    <t>BTS Economie de la construction</t>
  </si>
  <si>
    <t>Licence Economie de la construction</t>
  </si>
  <si>
    <t>Master Economie de la construction</t>
  </si>
  <si>
    <t>Autres</t>
  </si>
  <si>
    <t xml:space="preserve"> </t>
  </si>
  <si>
    <t>Niveau</t>
  </si>
  <si>
    <t>non déterminée</t>
  </si>
  <si>
    <t>Formations prioritaires</t>
  </si>
  <si>
    <t>Autres formations</t>
  </si>
  <si>
    <t>B en Ile-de-France</t>
  </si>
  <si>
    <t>B Autres régions</t>
  </si>
  <si>
    <t>C en Ile-de-France</t>
  </si>
  <si>
    <t>C Autres régions</t>
  </si>
  <si>
    <t>CCN Mensuel</t>
  </si>
  <si>
    <t>BAC pro technicien du bâtiment
BAC pro Etudes et économie de la construction
BAC pro Secrétariat
Titre de Secrétariat technique/option Cadre de vie</t>
  </si>
  <si>
    <t>voir tableau ci-dessous</t>
  </si>
  <si>
    <t>Titulaire d'un BAC Pro, d'un titre ou diplôme professionnel de niveau IV</t>
  </si>
  <si>
    <t>Cabinets des économistes de la construction et métreurs-vérificateurs</t>
  </si>
  <si>
    <t xml:space="preserve"> (IDCC 3213)</t>
  </si>
  <si>
    <t>Niveaux de formation à l’entrée</t>
  </si>
  <si>
    <t>Année d’exécution du CPro</t>
  </si>
  <si>
    <t>Positions</t>
  </si>
  <si>
    <t>Coef. d’entrée</t>
  </si>
  <si>
    <t>Coef. de sortie</t>
  </si>
  <si>
    <t>Salaires minimaux bruts</t>
  </si>
  <si>
    <t>Jeunes de – 26 ans</t>
  </si>
  <si>
    <t>Demandeurs d’emploi /</t>
  </si>
  <si>
    <t>26 ans et +[1]</t>
  </si>
  <si>
    <t>ETAM</t>
  </si>
  <si>
    <t>1.1</t>
  </si>
  <si>
    <t>1.2</t>
  </si>
  <si>
    <t>2.1</t>
  </si>
  <si>
    <t>2.2</t>
  </si>
  <si>
    <t>IC</t>
  </si>
  <si>
    <r>
      <t>1</t>
    </r>
    <r>
      <rPr>
        <b/>
        <vertAlign val="superscript"/>
        <sz val="12"/>
        <rFont val="Arial"/>
        <family val="2"/>
      </rPr>
      <t>ère</t>
    </r>
    <r>
      <rPr>
        <b/>
        <sz val="12"/>
        <rFont val="Arial"/>
        <family val="2"/>
      </rPr>
      <t xml:space="preserve"> année</t>
    </r>
  </si>
  <si>
    <r>
      <t>2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année</t>
    </r>
  </si>
  <si>
    <r>
      <t xml:space="preserve">Titulaire d'un diplôme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niv III</t>
    </r>
  </si>
  <si>
    <t xml:space="preserve"> heures hebdomadaires</t>
  </si>
  <si>
    <t>Âge / qualification initiale</t>
  </si>
  <si>
    <t>5bis</t>
  </si>
  <si>
    <t>Tous niveaux initial</t>
  </si>
  <si>
    <r>
      <t xml:space="preserve">&lt; 21 ans </t>
    </r>
    <r>
      <rPr>
        <b/>
        <sz val="10"/>
        <rFont val="Arial"/>
        <family val="2"/>
      </rPr>
      <t>niveau initial</t>
    </r>
  </si>
  <si>
    <t>DUREE MINI</t>
  </si>
  <si>
    <t>DUREE MAXI</t>
  </si>
  <si>
    <t>Chargé de clientèle Particuliers</t>
  </si>
  <si>
    <t>Chargé de clientèle Professionnels</t>
  </si>
  <si>
    <t>Chargé de clientèle Entreprise</t>
  </si>
  <si>
    <t>Animateur commercial</t>
  </si>
  <si>
    <t>Conseiller en gestion de patrimoine</t>
  </si>
  <si>
    <t>Directeur de caisse ou de secteur</t>
  </si>
  <si>
    <t>Inspecteur Auditeur</t>
  </si>
  <si>
    <t>Techniciens des opérations bancaires</t>
  </si>
  <si>
    <t>Développeur informatique</t>
  </si>
  <si>
    <t>&lt; Bac</t>
  </si>
  <si>
    <t>Accord formation du 13/11/2015.</t>
  </si>
  <si>
    <t>Accord sur la formation professionnelle le développement des compétences et l’employabilité date du 31/10/2019</t>
  </si>
  <si>
    <r>
      <t xml:space="preserve">21 à 25 ans </t>
    </r>
    <r>
      <rPr>
        <b/>
        <sz val="10"/>
        <rFont val="Arial"/>
        <family val="2"/>
      </rPr>
      <t>niveau intial</t>
    </r>
  </si>
  <si>
    <r>
      <t xml:space="preserve">&lt; 26 ans </t>
    </r>
    <r>
      <rPr>
        <b/>
        <sz val="10"/>
        <rFont val="Arial"/>
        <family val="2"/>
      </rPr>
      <t>niveau initial</t>
    </r>
  </si>
  <si>
    <t>Chargé d'accueil Guichetier</t>
  </si>
  <si>
    <t>Responsable de Point de vente</t>
  </si>
  <si>
    <t>+ Jeunes de 16 à 25 ans</t>
  </si>
  <si>
    <t>80 % du Salaire Minimum Conventionnel pendant la 1re année du contrat</t>
  </si>
  <si>
    <t>et 90 ou 100 % pour la 2e année (voir tableau ci-dessus).</t>
  </si>
  <si>
    <t>+ Demandeurs d’emploi de 26 ans ou plus</t>
  </si>
  <si>
    <t>avenant-n°44 du 30/03/2017 :</t>
  </si>
  <si>
    <t>Le montant du SMIC en vigueur devient la base de référence dès lors que le salaire conventionnel y est inférieur.</t>
  </si>
  <si>
    <t>85 % du Salaire Minimal Conventionnel la 1re année sans que ce soit inférieur au SMIC en vigueur et 100 % pour la 2e année.</t>
  </si>
  <si>
    <t>FV</t>
  </si>
  <si>
    <t xml:space="preserve">* Accord du 5  février 2020 relatif à la formation professionnelle
</t>
  </si>
  <si>
    <t>13x le SMIC, ou 85% du SMC si plus favorable</t>
  </si>
  <si>
    <t>Avenant-n-45-31-10-2019.</t>
  </si>
  <si>
    <t>Lorsque le % du SMC est inférieur au SMIC, le collaborateur en contrat de professionnalisation âgé de 26 ans et plus à l’embauche sera payé au SMIC.</t>
  </si>
  <si>
    <t>GRILLE DE REMUNERATION 2021</t>
  </si>
  <si>
    <r>
      <t xml:space="preserve">Accord relatif à la GPEC et à la formation professionnelle tout au long de la vie dans les sociétés d'assurances du 24 novembre 2014
   </t>
    </r>
    <r>
      <rPr>
        <sz val="10"/>
        <rFont val="Wingdings"/>
        <charset val="2"/>
      </rPr>
      <t>Ä</t>
    </r>
    <r>
      <rPr>
        <sz val="10"/>
        <rFont val="Arial"/>
        <family val="2"/>
      </rPr>
      <t xml:space="preserve"> article 14</t>
    </r>
  </si>
  <si>
    <t>Salarié &lt; 26 ans et ≥ Bac PRO :</t>
  </si>
  <si>
    <t>85% du minimum conventionnel sans être inférieur au SMIC</t>
  </si>
  <si>
    <t>Salarié de +26 ans :</t>
  </si>
  <si>
    <r>
      <rPr>
        <b/>
        <sz val="10"/>
        <rFont val="Arial"/>
        <family val="2"/>
      </rPr>
      <t xml:space="preserve">&lt; 26 ans : </t>
    </r>
    <r>
      <rPr>
        <sz val="10"/>
        <rFont val="Arial"/>
        <family val="2"/>
      </rPr>
      <t>70 % de la rémunération annuelle minimale applicable dans l’entreprise à la classification de leur emploi</t>
    </r>
  </si>
  <si>
    <t>sans pouvoir être inférieure au Smic.</t>
  </si>
  <si>
    <r>
      <t xml:space="preserve">Salarié de +26 ans : </t>
    </r>
    <r>
      <rPr>
        <sz val="9"/>
        <rFont val="Arial"/>
        <family val="2"/>
      </rPr>
      <t>85 % de la rémunération annuelle minimale correspondant à la classification de leur emploi</t>
    </r>
  </si>
  <si>
    <t xml:space="preserve">SMIC au 01/10/2021 : </t>
  </si>
  <si>
    <t>Accord du 3 juin 2021 elatif aux rémunérations minimales du 1er janvier 2021</t>
  </si>
  <si>
    <t xml:space="preserve">* Accord salarial du 7 février 2019 (Arrêté du 19 juillet 2021 JO du 30 juillet 2021)  </t>
  </si>
  <si>
    <t>Accord sur les salaires conventionnels du 09/03/2021 étendu au JO du 21/06/2021</t>
  </si>
  <si>
    <t xml:space="preserve">Avenant du 24/11/2020 à la Conv.Collective des entreprises de courtage d’assurances et/ou de réassurances </t>
  </si>
  <si>
    <t>B</t>
  </si>
  <si>
    <t>C</t>
  </si>
  <si>
    <t xml:space="preserve">montant non inférieur à 13xSMIC ou 85% de la rémunération minimale conventionnelle </t>
  </si>
  <si>
    <t>smic ou 85% du SMC</t>
  </si>
  <si>
    <r>
      <rPr>
        <sz val="26"/>
        <color theme="1"/>
        <rFont val="Calibri"/>
        <family val="2"/>
        <scheme val="minor"/>
      </rPr>
      <t xml:space="preserve">     Grille de salaires</t>
    </r>
    <r>
      <rPr>
        <sz val="20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     Contrats 
     de professionnalisation</t>
    </r>
  </si>
  <si>
    <t xml:space="preserve">   Agents généraux d'assurance</t>
  </si>
  <si>
    <t xml:space="preserve">   Banque</t>
  </si>
  <si>
    <t xml:space="preserve">   Banque populaire</t>
  </si>
  <si>
    <t xml:space="preserve">   Bureaux d'études techniques ingénieurs et conseils</t>
  </si>
  <si>
    <t xml:space="preserve">   Caisse d'épargne</t>
  </si>
  <si>
    <t xml:space="preserve">   Courtage d'assurance et réassurance</t>
  </si>
  <si>
    <t xml:space="preserve">   Crédit mutuel</t>
  </si>
  <si>
    <t xml:space="preserve">   Experts-comptables et commissaires au comptes</t>
  </si>
  <si>
    <t xml:space="preserve">   Sociétés d'assistance</t>
  </si>
  <si>
    <t xml:space="preserve">   Sociétés d'assurance</t>
  </si>
  <si>
    <t xml:space="preserve">   Sociétés financières</t>
  </si>
  <si>
    <t>2 / 16</t>
  </si>
  <si>
    <t>Grille de rémunération 2021</t>
  </si>
  <si>
    <t xml:space="preserve">   Durées de formation maximum et minimum selon la durée du contrat</t>
  </si>
  <si>
    <t xml:space="preserve">   Rémunération légale</t>
  </si>
  <si>
    <t>Agents généraux d'assurance</t>
  </si>
  <si>
    <r>
      <t xml:space="preserve">85% de la rémunération minimale conventionnelle si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SMIC annuel</t>
    </r>
  </si>
  <si>
    <r>
      <t xml:space="preserve">Accord de branche relatif à la formation professionnelle tout au long de la vie du 26/11/2015 </t>
    </r>
    <r>
      <rPr>
        <i/>
        <sz val="12"/>
        <rFont val="Calibri"/>
        <family val="2"/>
        <scheme val="minor"/>
      </rPr>
      <t xml:space="preserve"> (article 4.5)</t>
    </r>
  </si>
  <si>
    <r>
      <t>Avenant n°18 à la CCN du Personnel des Agences Générales d'Assurances</t>
    </r>
    <r>
      <rPr>
        <i/>
        <sz val="12"/>
        <rFont val="Calibri"/>
        <family val="2"/>
        <scheme val="minor"/>
      </rPr>
      <t xml:space="preserve"> ( article 1 )</t>
    </r>
  </si>
  <si>
    <r>
      <t xml:space="preserve">Avenant n°24 du 17/12/2020 à la CCN du Personnel des Agences Générales d'Assurances </t>
    </r>
    <r>
      <rPr>
        <i/>
        <sz val="12"/>
        <rFont val="Calibri"/>
        <family val="2"/>
        <scheme val="minor"/>
      </rPr>
      <t>( article 1)</t>
    </r>
  </si>
  <si>
    <t>Banque</t>
  </si>
  <si>
    <t>Banque populaire</t>
  </si>
  <si>
    <t>Bureaux d'études techniques ingénieurs et conseils</t>
  </si>
  <si>
    <t>Caisse d'épargne</t>
  </si>
  <si>
    <t>Courtage d'assurance et réassurance</t>
  </si>
  <si>
    <t>Crédit mutuel</t>
  </si>
  <si>
    <t>Economistes de la construction</t>
  </si>
  <si>
    <t>Experts comptables et commissaires aux comptes</t>
  </si>
  <si>
    <t>Sociétés d'assurance</t>
  </si>
  <si>
    <t>Sociétés d'assistance</t>
  </si>
  <si>
    <t>Sociétés financières</t>
  </si>
  <si>
    <r>
      <t>B</t>
    </r>
    <r>
      <rPr>
        <b/>
        <sz val="11"/>
        <color theme="7"/>
        <rFont val="Arial"/>
        <family val="2"/>
      </rPr>
      <t>anque</t>
    </r>
    <r>
      <rPr>
        <sz val="11"/>
        <color theme="7"/>
        <rFont val="Arial"/>
        <family val="2"/>
      </rPr>
      <t xml:space="preserve"> (IDCC 2120)</t>
    </r>
  </si>
  <si>
    <t>D</t>
  </si>
  <si>
    <t>CCN 
Annuel</t>
  </si>
  <si>
    <t>Bureaux d’études techniques, cabinets d’ingénieurs conseils, sociétés de conseils (IDCC 1486)</t>
  </si>
  <si>
    <r>
      <t>Caisse d'épargne</t>
    </r>
    <r>
      <rPr>
        <sz val="11"/>
        <color rgb="FF7030A0"/>
        <rFont val="Arial"/>
        <family val="2"/>
      </rPr>
      <t xml:space="preserve"> (code IDCC 5005)</t>
    </r>
  </si>
  <si>
    <r>
      <t xml:space="preserve">Courtage d'assurances et/ou de réassurances </t>
    </r>
    <r>
      <rPr>
        <sz val="11"/>
        <color rgb="FF7030A0"/>
        <rFont val="Arial"/>
        <family val="2"/>
      </rPr>
      <t>(IDCC 2247)</t>
    </r>
  </si>
  <si>
    <r>
      <t>Crédit Mutuel</t>
    </r>
    <r>
      <rPr>
        <sz val="11"/>
        <color rgb="FF7030A0"/>
        <rFont val="Arial"/>
        <family val="2"/>
      </rPr>
      <t xml:space="preserve"> (code IDCC 1468)</t>
    </r>
  </si>
  <si>
    <t>Valeurs de salaires minima par niveau selon l’accord du 20 janvier 2021 relatif aux salaires pour 2021 : 
Niveau B = 2 151 € (Ile-de-France) - 2046 € (national) 
Niveau C = 2377 € (Ile-de-France) - 2 263 € (national)</t>
  </si>
  <si>
    <r>
      <t xml:space="preserve">Experts comptables et CAC </t>
    </r>
    <r>
      <rPr>
        <sz val="11"/>
        <color rgb="FF7030A0"/>
        <rFont val="Arial"/>
        <family val="2"/>
      </rPr>
      <t>(IDCC 787)</t>
    </r>
  </si>
  <si>
    <t xml:space="preserve">Grille des rémunérations CCN : </t>
  </si>
  <si>
    <t>L’accord salaire n°44 conclu le 9 mars 2021 est applicable à compter du 1 er jour du mois civil suivant la parution au Journal Officiel 
de son arrêté ministériel d’extension.
Etendu par un arrêté ministériel d’extension du 9 juin 2021, publié au Journal officiel du 21 juin 2021, cet accord s’appliquera donc à compter du 1 er juillet 2021 à l’ensemble des cabinets de la profession.</t>
  </si>
  <si>
    <r>
      <t>Sociétés d'Assistance</t>
    </r>
    <r>
      <rPr>
        <sz val="11"/>
        <color rgb="FF7030A0"/>
        <rFont val="Arial"/>
        <family val="2"/>
      </rPr>
      <t xml:space="preserve"> (IDCC 1801)</t>
    </r>
  </si>
  <si>
    <r>
      <t xml:space="preserve">* Accord du 30 septembre 2015 relatif à la formation professionnelle et à la gestion prévisionnelle des emplois
   </t>
    </r>
    <r>
      <rPr>
        <sz val="10"/>
        <rFont val="Wingdings"/>
        <charset val="2"/>
      </rPr>
      <t>Ä</t>
    </r>
    <r>
      <rPr>
        <sz val="10"/>
        <rFont val="Arial"/>
        <family val="2"/>
      </rPr>
      <t xml:space="preserve"> article 17.3</t>
    </r>
  </si>
  <si>
    <r>
      <t xml:space="preserve">Sociétés et Mutuelles d'Assurance  </t>
    </r>
    <r>
      <rPr>
        <sz val="11"/>
        <color rgb="FF7030A0"/>
        <rFont val="Arial"/>
        <family val="2"/>
      </rPr>
      <t>(IDCC 1672)</t>
    </r>
  </si>
  <si>
    <r>
      <t xml:space="preserve">85% de la rémunération minimale conventionnelle si </t>
    </r>
    <r>
      <rPr>
        <b/>
        <sz val="10"/>
        <color rgb="FF7030A0"/>
        <rFont val="Calibri"/>
        <family val="2"/>
      </rPr>
      <t>≥</t>
    </r>
    <r>
      <rPr>
        <b/>
        <sz val="10"/>
        <color rgb="FF7030A0"/>
        <rFont val="Arial"/>
        <family val="2"/>
      </rPr>
      <t xml:space="preserve"> SMIC annuel</t>
    </r>
  </si>
  <si>
    <t>moins de 21 ans</t>
  </si>
  <si>
    <t>Plus de 26 ans</t>
  </si>
  <si>
    <t xml:space="preserve">Sans qualification professionnelle ou qualification inférieur au BAC pro ou titre  ou diplôme professionnel de même niveau </t>
  </si>
  <si>
    <t xml:space="preserve">Qualification égale ou supérieure au BAC pro ou titre  ou diplôme professionnel de même niveau </t>
  </si>
  <si>
    <t>55% de la RMG</t>
  </si>
  <si>
    <t>70% de la RMG</t>
  </si>
  <si>
    <t>65% de la RMG</t>
  </si>
  <si>
    <t>80% de la RMG</t>
  </si>
  <si>
    <t xml:space="preserve">Les demandeurs d'emplois âgés de 26 ans et plus perçoivent une rémunération qui ne peut être inférieure à la rémunération minimale garantie (RMG) prévue par la convention collective pour le coefficient hierarchique mentionné au contrat de travail </t>
  </si>
  <si>
    <r>
      <rPr>
        <b/>
        <sz val="11"/>
        <color theme="1"/>
        <rFont val="Calibri"/>
        <family val="2"/>
        <scheme val="minor"/>
      </rPr>
      <t xml:space="preserve">Grilles de salaire       </t>
    </r>
    <r>
      <rPr>
        <sz val="10"/>
        <rFont val="Arial"/>
      </rPr>
      <t xml:space="preserve">                                                                                                                       </t>
    </r>
  </si>
  <si>
    <t xml:space="preserve"> Contrats de professionnalisation</t>
  </si>
  <si>
    <t>3 / 16</t>
  </si>
  <si>
    <t>4 / 16</t>
  </si>
  <si>
    <t>16 / 16</t>
  </si>
  <si>
    <t>15 / 16</t>
  </si>
  <si>
    <t>14 / 16</t>
  </si>
  <si>
    <t>12 / 16</t>
  </si>
  <si>
    <t>11 / 16</t>
  </si>
  <si>
    <t>10 / 16</t>
  </si>
  <si>
    <t>9 / 16</t>
  </si>
  <si>
    <t>8 / 16</t>
  </si>
  <si>
    <t>7 / 16</t>
  </si>
  <si>
    <t>6 / 16</t>
  </si>
  <si>
    <t>5 / 16</t>
  </si>
  <si>
    <t>DUREE 
DU CONTRAT</t>
  </si>
  <si>
    <t>Tableau récapitulatif des 
durées de formation
maximum et minimum selon 
la durée du contrat</t>
  </si>
  <si>
    <t>≥Bac</t>
  </si>
  <si>
    <t>&lt; 26 ans
niveau initial</t>
  </si>
  <si>
    <t>≥ 26 ans</t>
  </si>
  <si>
    <r>
      <rPr>
        <b/>
        <sz val="11"/>
        <rFont val="Arial"/>
        <family val="2"/>
      </rPr>
      <t>≥ 26 ans</t>
    </r>
  </si>
  <si>
    <r>
      <rPr>
        <b/>
        <sz val="10"/>
        <rFont val="Arial"/>
        <family val="2"/>
      </rPr>
      <t>≤ Bac général</t>
    </r>
  </si>
  <si>
    <r>
      <rPr>
        <b/>
        <sz val="10"/>
        <rFont val="Arial"/>
        <family val="2"/>
      </rPr>
      <t>≥ Bac pro</t>
    </r>
  </si>
  <si>
    <r>
      <t xml:space="preserve">&lt; 21 ans 
</t>
    </r>
    <r>
      <rPr>
        <b/>
        <sz val="10"/>
        <rFont val="Arial"/>
        <family val="2"/>
      </rPr>
      <t>niveau initial</t>
    </r>
  </si>
  <si>
    <t>≥ Bac</t>
  </si>
  <si>
    <t>≤ Bac</t>
  </si>
  <si>
    <t>&lt;26 ans
niveau intial</t>
  </si>
  <si>
    <r>
      <t xml:space="preserve">3 et 4 </t>
    </r>
    <r>
      <rPr>
        <i/>
        <sz val="12"/>
        <rFont val="Arial"/>
        <family val="2"/>
      </rPr>
      <t>(anciens niveaux V et IV)</t>
    </r>
  </si>
  <si>
    <r>
      <t xml:space="preserve">5 </t>
    </r>
    <r>
      <rPr>
        <i/>
        <sz val="12"/>
        <rFont val="Arial"/>
        <family val="2"/>
      </rPr>
      <t xml:space="preserve">(ancien niveau III) </t>
    </r>
    <r>
      <rPr>
        <b/>
        <i/>
        <sz val="12"/>
        <rFont val="Arial"/>
        <family val="2"/>
      </rPr>
      <t>Métiers transverses</t>
    </r>
  </si>
  <si>
    <r>
      <t xml:space="preserve">5 </t>
    </r>
    <r>
      <rPr>
        <i/>
        <sz val="12"/>
        <rFont val="Arial"/>
        <family val="2"/>
      </rPr>
      <t xml:space="preserve">(ancien niveau III) </t>
    </r>
    <r>
      <rPr>
        <b/>
        <i/>
        <sz val="12"/>
        <rFont val="Arial"/>
        <family val="2"/>
      </rPr>
      <t>Métiers de la branche</t>
    </r>
  </si>
  <si>
    <r>
      <t xml:space="preserve">6 </t>
    </r>
    <r>
      <rPr>
        <i/>
        <sz val="12"/>
        <rFont val="Arial"/>
        <family val="2"/>
      </rPr>
      <t>(ancien niveau II)</t>
    </r>
  </si>
  <si>
    <r>
      <t xml:space="preserve">7 </t>
    </r>
    <r>
      <rPr>
        <i/>
        <sz val="12"/>
        <rFont val="Arial"/>
        <family val="2"/>
      </rPr>
      <t>(ancien niveau I)</t>
    </r>
  </si>
  <si>
    <t>&lt; 26 ans niveau initial</t>
  </si>
  <si>
    <t>Salaire mensuel sur 12 mois *</t>
  </si>
  <si>
    <t xml:space="preserve">* versement possible sur 13 mois </t>
  </si>
  <si>
    <t xml:space="preserve">   Economistes de la construction</t>
  </si>
  <si>
    <r>
      <t xml:space="preserve">   Marché financier </t>
    </r>
    <r>
      <rPr>
        <u/>
        <sz val="10"/>
        <color theme="10"/>
        <rFont val="Arial"/>
        <family val="2"/>
      </rPr>
      <t>(se référer aux dispostions légales)</t>
    </r>
  </si>
  <si>
    <r>
      <t xml:space="preserve">Banque Populaire </t>
    </r>
    <r>
      <rPr>
        <sz val="11"/>
        <color rgb="FF7030A0"/>
        <rFont val="Arial"/>
        <family val="2"/>
      </rPr>
      <t>(IDCC3210)</t>
    </r>
  </si>
  <si>
    <r>
      <t xml:space="preserve">Grilles de salaire       </t>
    </r>
    <r>
      <rPr>
        <sz val="10"/>
        <rFont val="Arial"/>
      </rPr>
      <t xml:space="preserve">                                                                                                                       </t>
    </r>
  </si>
  <si>
    <t>Géomètres experts</t>
  </si>
  <si>
    <t>Géomètres Experts</t>
  </si>
  <si>
    <t xml:space="preserve"> (IDCC 2543)</t>
  </si>
  <si>
    <t xml:space="preserve">SMIC au 01/10/2021: </t>
  </si>
  <si>
    <t>Qualification du Bénéficiaire</t>
  </si>
  <si>
    <t>Si qualification du collaborateur inférieure au bac professionnel, ou égale à celle d'un titre ou diplôme de niveau Bac (Bacs Généraux etc…)</t>
  </si>
  <si>
    <t>Si qualification du collaborateur supérieure ou égale au  bac professionnel ou à un titre ou à un diplôme professionnel de même niveau,  ou égale à un diplôme de l'enseignement supérieur</t>
  </si>
  <si>
    <t>Diplôme Préparé</t>
  </si>
  <si>
    <t xml:space="preserve">Bac Pro </t>
  </si>
  <si>
    <t xml:space="preserve">BTS </t>
  </si>
  <si>
    <t xml:space="preserve">Licence </t>
  </si>
  <si>
    <t>Master</t>
  </si>
  <si>
    <t xml:space="preserve">Moins de 18 ans </t>
  </si>
  <si>
    <t>55 % du SMIC</t>
  </si>
  <si>
    <t>65 % du SMIC</t>
  </si>
  <si>
    <t xml:space="preserve">De 18 à 20 ans </t>
  </si>
  <si>
    <t xml:space="preserve">55 % du niveau II échelon 2 </t>
  </si>
  <si>
    <t xml:space="preserve">55 % du niveau II échelon 3 </t>
  </si>
  <si>
    <t xml:space="preserve">65 % du niveau II échelon 2 </t>
  </si>
  <si>
    <t xml:space="preserve">65 % du niveau II échelon 3 </t>
  </si>
  <si>
    <t>65 % du niveau II échelon 2</t>
  </si>
  <si>
    <t>De 21 à 25 ans révolus</t>
  </si>
  <si>
    <t xml:space="preserve">70 % du niveau II échelon 2 </t>
  </si>
  <si>
    <t xml:space="preserve">70 % du niveau II échelon 3 </t>
  </si>
  <si>
    <t xml:space="preserve">80 % du niveau II échelon 2 </t>
  </si>
  <si>
    <t xml:space="preserve">80 % du niveau II échelon 3 </t>
  </si>
  <si>
    <t>80 % du niveau II échelon 3</t>
  </si>
  <si>
    <t>De 26 ans et plus, demandeurs d'emplois,bénéficiaires du RSA, bénéficiaires de l'ASS, bénéficiares de l'AAH, ayant bénéficié d'un CUI</t>
  </si>
  <si>
    <t>85 % du niveau II échelon 2 sans pouvoir être inférieur à 100% du SMIC</t>
  </si>
  <si>
    <t>85 % du niveau II échelon 3 sans pouvoir être inférieur à 100% du SMIC</t>
  </si>
  <si>
    <t>85 % du niveau II échelon 3 sans pouvoir être inférieur à 100 % du SMIC</t>
  </si>
  <si>
    <t>13 / 16</t>
  </si>
  <si>
    <t>Accord du 12/07/2015</t>
  </si>
  <si>
    <t>CCN = Grille de rémunérations 2021</t>
  </si>
  <si>
    <t xml:space="preserve">   Géomètres experts</t>
  </si>
  <si>
    <t>≥ Bac pro</t>
  </si>
  <si>
    <t>≤ Bac général</t>
  </si>
  <si>
    <t>V23 10-21</t>
  </si>
  <si>
    <t>V23 11-21</t>
  </si>
  <si>
    <t>Grille des rémunérations CCN Experts-Comptables et Commissaires aux comptes</t>
  </si>
  <si>
    <t>Niveaux</t>
  </si>
  <si>
    <t>Coefficients</t>
  </si>
  <si>
    <t>Minima Montants annuels bruts 
(35 heures/semaine)</t>
  </si>
  <si>
    <t>Minima Montant 
annuels bruts
(Forfait jours *)</t>
  </si>
  <si>
    <t>N5</t>
  </si>
  <si>
    <t>N4</t>
  </si>
  <si>
    <t>N3</t>
  </si>
  <si>
    <t>N2</t>
  </si>
  <si>
    <t>N1</t>
  </si>
  <si>
    <r>
      <t xml:space="preserve">ou 
</t>
    </r>
    <r>
      <rPr>
        <b/>
        <sz val="11"/>
        <color rgb="FF7030A0"/>
        <rFont val="Arial"/>
        <family val="2"/>
      </rPr>
      <t>85% de la rémunération conventionnelle</t>
    </r>
    <r>
      <rPr>
        <sz val="10"/>
        <color rgb="FF7030A0"/>
        <rFont val="Arial"/>
        <family val="2"/>
      </rPr>
      <t xml:space="preserve"> 
si supérieur au SMIC</t>
    </r>
    <r>
      <rPr>
        <sz val="10"/>
        <rFont val="Arial"/>
      </rPr>
      <t xml:space="preserve"> (cf accord salaire n°44 conclu le 9 mars 2021)</t>
    </r>
  </si>
  <si>
    <t>CALCUL 85% du SMC</t>
  </si>
  <si>
    <t>inférieur au SMIC, donc on aplique le 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</si>
</sst>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dd/mm/yy;@"/>
    <numFmt numFmtId="167" formatCode="#,##0\ &quot;€&quot;"/>
    <numFmt numFmtId="168" formatCode="_-* #,##0\ _€_-;\-* #,##0\ _€_-;_-* &quot;-&quot;??\ _€_-;_-@_-"/>
    <numFmt numFmtId="169" formatCode="_-* #,##0.00\ [$€-40C]_-;\-* #,##0.00\ [$€-40C]_-;_-* &quot;-&quot;??\ [$€-40C]_-;_-@_-"/>
  </numFmts>
  <fonts count="8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0"/>
      <color rgb="FFFF0000"/>
      <name val="Arial"/>
      <family val="2"/>
    </font>
    <font>
      <b/>
      <i/>
      <sz val="10"/>
      <color rgb="FF00B050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0"/>
      <color rgb="FF0000FF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sz val="10"/>
      <name val="Wingdings"/>
      <charset val="2"/>
    </font>
    <font>
      <b/>
      <sz val="9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9"/>
      <name val="Symbol"/>
      <family val="1"/>
      <charset val="2"/>
    </font>
    <font>
      <b/>
      <sz val="14"/>
      <color rgb="FFFFFFFF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1F497D"/>
      <name val="Calibri"/>
      <family val="2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name val="Calibri"/>
      <family val="2"/>
    </font>
    <font>
      <sz val="9"/>
      <color rgb="FFFF0000"/>
      <name val="Arial"/>
      <family val="2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7030A0"/>
      <name val="Arial"/>
      <family val="2"/>
    </font>
    <font>
      <sz val="10"/>
      <color rgb="FF7030A0"/>
      <name val="Arial"/>
      <family val="2"/>
    </font>
    <font>
      <i/>
      <sz val="12"/>
      <name val="Calibri"/>
      <family val="2"/>
      <scheme val="minor"/>
    </font>
    <font>
      <sz val="10"/>
      <color theme="1"/>
      <name val="Arial"/>
      <family val="2"/>
    </font>
    <font>
      <b/>
      <sz val="11"/>
      <color theme="7"/>
      <name val="Arial"/>
      <family val="2"/>
    </font>
    <font>
      <sz val="11"/>
      <color theme="7"/>
      <name val="Arial"/>
      <family val="2"/>
    </font>
    <font>
      <b/>
      <sz val="10"/>
      <color theme="7"/>
      <name val="Arial"/>
      <family val="2"/>
    </font>
    <font>
      <b/>
      <sz val="10"/>
      <color rgb="FF7030A0"/>
      <name val="Arial"/>
      <family val="2"/>
    </font>
    <font>
      <sz val="11"/>
      <color rgb="FF7030A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rgb="FF7030A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Calibri"/>
      <family val="2"/>
    </font>
    <font>
      <b/>
      <sz val="24"/>
      <name val="Calibri"/>
      <family val="2"/>
      <scheme val="minor"/>
    </font>
    <font>
      <b/>
      <sz val="12"/>
      <color theme="7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b/>
      <sz val="26"/>
      <name val="Calibri"/>
      <family val="2"/>
    </font>
    <font>
      <b/>
      <sz val="12"/>
      <color rgb="FF0000FF"/>
      <name val="Arial"/>
      <family val="2"/>
    </font>
    <font>
      <sz val="12"/>
      <color rgb="FF7030A0"/>
      <name val="Arial"/>
      <family val="2"/>
    </font>
    <font>
      <b/>
      <sz val="11"/>
      <name val="Calibri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808080"/>
      <name val="Arial"/>
      <family val="2"/>
    </font>
    <font>
      <b/>
      <sz val="12"/>
      <color theme="7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758B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3EAFF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4B084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indexed="64"/>
      </left>
      <right/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 style="thin">
        <color rgb="FF7030A0"/>
      </left>
      <right/>
      <top style="thin">
        <color indexed="64"/>
      </top>
      <bottom/>
      <diagonal/>
    </border>
    <border>
      <left/>
      <right style="thin">
        <color rgb="FF7030A0"/>
      </right>
      <top style="thin">
        <color indexed="64"/>
      </top>
      <bottom/>
      <diagonal/>
    </border>
    <border>
      <left style="thin">
        <color rgb="FF7030A0"/>
      </left>
      <right/>
      <top style="thin">
        <color indexed="64"/>
      </top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030A0"/>
      </bottom>
      <diagonal/>
    </border>
    <border>
      <left/>
      <right style="thin">
        <color rgb="FF7030A0"/>
      </right>
      <top style="thin">
        <color indexed="64"/>
      </top>
      <bottom style="thin">
        <color rgb="FF7030A0"/>
      </bottom>
      <diagonal/>
    </border>
    <border>
      <left style="thin">
        <color indexed="64"/>
      </left>
      <right/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D9D9D9"/>
      </bottom>
      <diagonal/>
    </border>
    <border>
      <left style="thin">
        <color indexed="64"/>
      </left>
      <right style="thin">
        <color indexed="64"/>
      </right>
      <top/>
      <bottom style="dotted">
        <color rgb="FFD9D9D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511">
    <xf numFmtId="0" fontId="0" fillId="0" borderId="0" xfId="0"/>
    <xf numFmtId="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7" fontId="0" fillId="0" borderId="0" xfId="0" applyNumberForma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0" fontId="1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15" fillId="0" borderId="0" xfId="0" applyFont="1"/>
    <xf numFmtId="165" fontId="0" fillId="0" borderId="0" xfId="0" applyNumberFormat="1"/>
    <xf numFmtId="165" fontId="10" fillId="0" borderId="0" xfId="1" applyNumberFormat="1" applyFont="1" applyBorder="1" applyAlignment="1">
      <alignment horizontal="center" vertical="center"/>
    </xf>
    <xf numFmtId="0" fontId="19" fillId="0" borderId="0" xfId="0" applyFont="1" applyAlignment="1"/>
    <xf numFmtId="0" fontId="12" fillId="2" borderId="9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3" xfId="0" applyFill="1" applyBorder="1"/>
    <xf numFmtId="0" fontId="10" fillId="2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10" fillId="2" borderId="13" xfId="0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horizontal="center" vertical="center"/>
    </xf>
    <xf numFmtId="167" fontId="2" fillId="3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8" fontId="0" fillId="2" borderId="1" xfId="2" applyNumberFormat="1" applyFont="1" applyFill="1" applyBorder="1" applyAlignment="1">
      <alignment horizontal="left" vertical="center"/>
    </xf>
    <xf numFmtId="168" fontId="0" fillId="2" borderId="1" xfId="2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0" fontId="0" fillId="2" borderId="12" xfId="0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5" fontId="10" fillId="3" borderId="0" xfId="1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5" fontId="10" fillId="0" borderId="0" xfId="1" applyNumberFormat="1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12" fillId="2" borderId="12" xfId="0" applyFont="1" applyFill="1" applyBorder="1"/>
    <xf numFmtId="0" fontId="1" fillId="2" borderId="14" xfId="0" applyFont="1" applyFill="1" applyBorder="1"/>
    <xf numFmtId="0" fontId="12" fillId="2" borderId="9" xfId="0" applyFont="1" applyFill="1" applyBorder="1"/>
    <xf numFmtId="0" fontId="8" fillId="2" borderId="12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167" fontId="2" fillId="0" borderId="0" xfId="1" applyNumberFormat="1" applyFont="1" applyFill="1" applyBorder="1" applyAlignment="1">
      <alignment horizontal="center" vertical="center"/>
    </xf>
    <xf numFmtId="9" fontId="21" fillId="7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4" fontId="0" fillId="3" borderId="0" xfId="0" applyNumberFormat="1" applyFill="1" applyBorder="1"/>
    <xf numFmtId="9" fontId="0" fillId="3" borderId="0" xfId="0" applyNumberFormat="1" applyFill="1" applyBorder="1"/>
    <xf numFmtId="0" fontId="35" fillId="3" borderId="0" xfId="0" applyFont="1" applyFill="1" applyBorder="1"/>
    <xf numFmtId="0" fontId="0" fillId="3" borderId="0" xfId="0" applyFill="1" applyBorder="1" applyAlignment="1">
      <alignment horizontal="center"/>
    </xf>
    <xf numFmtId="4" fontId="27" fillId="3" borderId="0" xfId="0" applyNumberFormat="1" applyFont="1" applyFill="1" applyBorder="1"/>
    <xf numFmtId="0" fontId="35" fillId="3" borderId="0" xfId="0" applyFont="1" applyFill="1" applyBorder="1" applyAlignment="1">
      <alignment horizontal="center"/>
    </xf>
    <xf numFmtId="0" fontId="1" fillId="2" borderId="12" xfId="0" applyFont="1" applyFill="1" applyBorder="1"/>
    <xf numFmtId="2" fontId="0" fillId="0" borderId="0" xfId="0" applyNumberFormat="1"/>
    <xf numFmtId="0" fontId="13" fillId="0" borderId="0" xfId="0" applyFont="1" applyAlignment="1">
      <alignment horizontal="left" vertical="center"/>
    </xf>
    <xf numFmtId="0" fontId="2" fillId="2" borderId="12" xfId="0" applyFont="1" applyFill="1" applyBorder="1"/>
    <xf numFmtId="0" fontId="37" fillId="0" borderId="0" xfId="0" applyFont="1"/>
    <xf numFmtId="0" fontId="37" fillId="2" borderId="14" xfId="0" applyFont="1" applyFill="1" applyBorder="1"/>
    <xf numFmtId="0" fontId="37" fillId="2" borderId="2" xfId="0" applyFont="1" applyFill="1" applyBorder="1"/>
    <xf numFmtId="4" fontId="37" fillId="2" borderId="2" xfId="0" applyNumberFormat="1" applyFont="1" applyFill="1" applyBorder="1"/>
    <xf numFmtId="9" fontId="37" fillId="2" borderId="2" xfId="0" applyNumberFormat="1" applyFont="1" applyFill="1" applyBorder="1"/>
    <xf numFmtId="0" fontId="37" fillId="2" borderId="2" xfId="0" applyFont="1" applyFill="1" applyBorder="1" applyAlignment="1">
      <alignment horizontal="center"/>
    </xf>
    <xf numFmtId="0" fontId="37" fillId="2" borderId="3" xfId="0" applyFont="1" applyFill="1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37" fillId="0" borderId="0" xfId="0" applyNumberFormat="1" applyFont="1"/>
    <xf numFmtId="0" fontId="0" fillId="2" borderId="0" xfId="0" applyFill="1"/>
    <xf numFmtId="0" fontId="28" fillId="4" borderId="16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38" fillId="0" borderId="0" xfId="0" applyFont="1"/>
    <xf numFmtId="0" fontId="37" fillId="0" borderId="0" xfId="0" applyFont="1" applyAlignment="1">
      <alignment horizontal="right"/>
    </xf>
    <xf numFmtId="4" fontId="37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left"/>
    </xf>
    <xf numFmtId="4" fontId="38" fillId="0" borderId="0" xfId="0" applyNumberFormat="1" applyFont="1" applyAlignment="1">
      <alignment horizontal="left" vertical="center"/>
    </xf>
    <xf numFmtId="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167" fontId="37" fillId="0" borderId="0" xfId="0" applyNumberFormat="1" applyFont="1"/>
    <xf numFmtId="0" fontId="8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2" fontId="1" fillId="0" borderId="0" xfId="0" applyNumberFormat="1" applyFont="1"/>
    <xf numFmtId="2" fontId="37" fillId="0" borderId="0" xfId="0" applyNumberFormat="1" applyFont="1"/>
    <xf numFmtId="2" fontId="0" fillId="3" borderId="0" xfId="0" applyNumberFormat="1" applyFill="1"/>
    <xf numFmtId="9" fontId="21" fillId="8" borderId="1" xfId="0" applyNumberFormat="1" applyFont="1" applyFill="1" applyBorder="1" applyAlignment="1">
      <alignment horizontal="center" vertical="center"/>
    </xf>
    <xf numFmtId="165" fontId="14" fillId="9" borderId="0" xfId="0" applyNumberFormat="1" applyFont="1" applyFill="1" applyAlignment="1">
      <alignment horizontal="left" vertical="center"/>
    </xf>
    <xf numFmtId="0" fontId="39" fillId="0" borderId="0" xfId="0" applyFont="1"/>
    <xf numFmtId="0" fontId="0" fillId="10" borderId="0" xfId="0" applyFill="1" applyBorder="1"/>
    <xf numFmtId="0" fontId="13" fillId="10" borderId="12" xfId="0" applyFont="1" applyFill="1" applyBorder="1" applyAlignment="1">
      <alignment horizontal="center" vertical="center"/>
    </xf>
    <xf numFmtId="0" fontId="0" fillId="10" borderId="13" xfId="0" applyFill="1" applyBorder="1"/>
    <xf numFmtId="0" fontId="0" fillId="10" borderId="12" xfId="0" applyFill="1" applyBorder="1"/>
    <xf numFmtId="0" fontId="12" fillId="10" borderId="12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21" fillId="0" borderId="0" xfId="0" applyNumberFormat="1" applyFont="1"/>
    <xf numFmtId="0" fontId="3" fillId="0" borderId="0" xfId="0" applyFont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4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5" fillId="0" borderId="0" xfId="0" applyFont="1" applyAlignment="1">
      <alignment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48" fillId="0" borderId="0" xfId="0" applyFont="1"/>
    <xf numFmtId="165" fontId="47" fillId="0" borderId="0" xfId="0" applyNumberFormat="1" applyFont="1" applyFill="1" applyAlignment="1">
      <alignment horizontal="left" vertical="center"/>
    </xf>
    <xf numFmtId="14" fontId="47" fillId="0" borderId="0" xfId="0" applyNumberFormat="1" applyFont="1" applyAlignment="1">
      <alignment horizontal="left" vertical="center"/>
    </xf>
    <xf numFmtId="14" fontId="4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53" fillId="2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vertical="center"/>
    </xf>
    <xf numFmtId="0" fontId="48" fillId="2" borderId="0" xfId="0" applyFont="1" applyFill="1" applyBorder="1"/>
    <xf numFmtId="0" fontId="48" fillId="2" borderId="13" xfId="0" applyFont="1" applyFill="1" applyBorder="1"/>
    <xf numFmtId="0" fontId="48" fillId="2" borderId="0" xfId="0" applyFont="1" applyFill="1" applyBorder="1" applyAlignment="1">
      <alignment vertical="center"/>
    </xf>
    <xf numFmtId="0" fontId="48" fillId="2" borderId="13" xfId="0" applyFont="1" applyFill="1" applyBorder="1" applyAlignment="1">
      <alignment vertical="center"/>
    </xf>
    <xf numFmtId="0" fontId="54" fillId="2" borderId="13" xfId="0" applyFont="1" applyFill="1" applyBorder="1" applyAlignment="1">
      <alignment vertical="center"/>
    </xf>
    <xf numFmtId="0" fontId="48" fillId="0" borderId="0" xfId="0" applyFont="1" applyFill="1"/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0" fontId="55" fillId="0" borderId="0" xfId="0" applyFont="1" applyFill="1" applyAlignment="1">
      <alignment horizontal="left" vertical="center"/>
    </xf>
    <xf numFmtId="165" fontId="3" fillId="0" borderId="14" xfId="0" applyNumberFormat="1" applyFont="1" applyFill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0" fontId="56" fillId="2" borderId="9" xfId="0" applyFont="1" applyFill="1" applyBorder="1"/>
    <xf numFmtId="0" fontId="50" fillId="2" borderId="10" xfId="0" applyFont="1" applyFill="1" applyBorder="1"/>
    <xf numFmtId="0" fontId="50" fillId="2" borderId="10" xfId="0" applyFont="1" applyFill="1" applyBorder="1" applyAlignment="1">
      <alignment horizontal="center"/>
    </xf>
    <xf numFmtId="0" fontId="50" fillId="2" borderId="11" xfId="0" applyFont="1" applyFill="1" applyBorder="1"/>
    <xf numFmtId="0" fontId="50" fillId="2" borderId="12" xfId="0" applyFont="1" applyFill="1" applyBorder="1"/>
    <xf numFmtId="0" fontId="50" fillId="2" borderId="0" xfId="0" applyFont="1" applyFill="1" applyBorder="1"/>
    <xf numFmtId="0" fontId="50" fillId="2" borderId="0" xfId="0" applyFont="1" applyFill="1" applyBorder="1" applyAlignment="1">
      <alignment horizontal="center"/>
    </xf>
    <xf numFmtId="0" fontId="50" fillId="2" borderId="13" xfId="0" applyFont="1" applyFill="1" applyBorder="1"/>
    <xf numFmtId="0" fontId="35" fillId="2" borderId="0" xfId="0" applyFont="1" applyFill="1" applyBorder="1"/>
    <xf numFmtId="4" fontId="50" fillId="2" borderId="0" xfId="0" applyNumberFormat="1" applyFont="1" applyFill="1" applyBorder="1"/>
    <xf numFmtId="9" fontId="50" fillId="2" borderId="0" xfId="0" applyNumberFormat="1" applyFont="1" applyFill="1" applyBorder="1"/>
    <xf numFmtId="0" fontId="57" fillId="2" borderId="12" xfId="0" applyFont="1" applyFill="1" applyBorder="1"/>
    <xf numFmtId="0" fontId="58" fillId="2" borderId="12" xfId="0" applyFont="1" applyFill="1" applyBorder="1"/>
    <xf numFmtId="0" fontId="13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65" fontId="54" fillId="0" borderId="1" xfId="1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59" fillId="2" borderId="13" xfId="0" applyFont="1" applyFill="1" applyBorder="1" applyAlignment="1">
      <alignment vertical="center"/>
    </xf>
    <xf numFmtId="0" fontId="59" fillId="2" borderId="0" xfId="0" applyFont="1" applyFill="1" applyBorder="1" applyAlignment="1">
      <alignment horizontal="left" vertical="center"/>
    </xf>
    <xf numFmtId="0" fontId="48" fillId="3" borderId="0" xfId="0" applyFont="1" applyFill="1"/>
    <xf numFmtId="0" fontId="12" fillId="2" borderId="12" xfId="0" applyFont="1" applyFill="1" applyBorder="1" applyAlignment="1"/>
    <xf numFmtId="14" fontId="47" fillId="0" borderId="0" xfId="0" applyNumberFormat="1" applyFont="1" applyFill="1" applyAlignment="1">
      <alignment horizontal="left" vertical="center"/>
    </xf>
    <xf numFmtId="0" fontId="54" fillId="10" borderId="0" xfId="0" applyFont="1" applyFill="1" applyBorder="1" applyAlignment="1">
      <alignment vertical="center"/>
    </xf>
    <xf numFmtId="0" fontId="48" fillId="10" borderId="0" xfId="0" applyFont="1" applyFill="1" applyBorder="1"/>
    <xf numFmtId="0" fontId="55" fillId="0" borderId="0" xfId="0" applyFont="1"/>
    <xf numFmtId="165" fontId="47" fillId="0" borderId="0" xfId="0" applyNumberFormat="1" applyFont="1" applyAlignment="1">
      <alignment horizontal="left" vertical="center"/>
    </xf>
    <xf numFmtId="0" fontId="0" fillId="0" borderId="0" xfId="0" applyBorder="1"/>
    <xf numFmtId="0" fontId="34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9" fontId="1" fillId="0" borderId="51" xfId="0" applyNumberFormat="1" applyFont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8" fillId="3" borderId="58" xfId="0" applyFont="1" applyFill="1" applyBorder="1" applyAlignment="1">
      <alignment horizontal="center" vertical="center"/>
    </xf>
    <xf numFmtId="0" fontId="0" fillId="0" borderId="5" xfId="0" applyBorder="1"/>
    <xf numFmtId="165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167" fontId="60" fillId="0" borderId="1" xfId="0" applyNumberFormat="1" applyFont="1" applyFill="1" applyBorder="1" applyAlignment="1">
      <alignment horizontal="center" vertical="center"/>
    </xf>
    <xf numFmtId="165" fontId="63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167" fontId="60" fillId="0" borderId="1" xfId="0" applyNumberFormat="1" applyFont="1" applyFill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/>
    </xf>
    <xf numFmtId="165" fontId="60" fillId="0" borderId="1" xfId="1" applyNumberFormat="1" applyFont="1" applyFill="1" applyBorder="1" applyAlignment="1">
      <alignment horizontal="center" vertical="center" wrapText="1"/>
    </xf>
    <xf numFmtId="165" fontId="60" fillId="0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165" fontId="60" fillId="0" borderId="15" xfId="1" applyNumberFormat="1" applyFont="1" applyBorder="1" applyAlignment="1">
      <alignment horizontal="center" vertical="center" wrapText="1"/>
    </xf>
    <xf numFmtId="165" fontId="60" fillId="0" borderId="1" xfId="1" applyNumberFormat="1" applyFont="1" applyBorder="1" applyAlignment="1">
      <alignment horizontal="center" vertical="center"/>
    </xf>
    <xf numFmtId="165" fontId="60" fillId="0" borderId="15" xfId="1" applyNumberFormat="1" applyFont="1" applyBorder="1" applyAlignment="1">
      <alignment horizontal="center" vertical="center"/>
    </xf>
    <xf numFmtId="165" fontId="60" fillId="0" borderId="1" xfId="1" applyNumberFormat="1" applyFont="1" applyBorder="1" applyAlignment="1">
      <alignment horizontal="center" vertical="center" wrapText="1"/>
    </xf>
    <xf numFmtId="167" fontId="47" fillId="0" borderId="1" xfId="0" applyNumberFormat="1" applyFont="1" applyFill="1" applyBorder="1" applyAlignment="1">
      <alignment horizontal="center" vertical="center"/>
    </xf>
    <xf numFmtId="167" fontId="47" fillId="0" borderId="1" xfId="0" applyNumberFormat="1" applyFont="1" applyBorder="1" applyAlignment="1">
      <alignment horizontal="center" vertical="center"/>
    </xf>
    <xf numFmtId="167" fontId="47" fillId="0" borderId="15" xfId="0" applyNumberFormat="1" applyFont="1" applyBorder="1" applyAlignment="1">
      <alignment horizontal="center" vertical="center"/>
    </xf>
    <xf numFmtId="167" fontId="47" fillId="0" borderId="8" xfId="0" applyNumberFormat="1" applyFont="1" applyBorder="1" applyAlignment="1">
      <alignment horizontal="center" vertical="center"/>
    </xf>
    <xf numFmtId="14" fontId="47" fillId="0" borderId="0" xfId="0" applyNumberFormat="1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167" fontId="3" fillId="0" borderId="0" xfId="0" applyNumberFormat="1" applyFont="1" applyFill="1" applyBorder="1" applyAlignment="1">
      <alignment horizontal="center" vertical="center"/>
    </xf>
    <xf numFmtId="165" fontId="63" fillId="0" borderId="0" xfId="1" applyNumberFormat="1" applyFont="1" applyBorder="1" applyAlignment="1">
      <alignment horizontal="center" vertical="center"/>
    </xf>
    <xf numFmtId="167" fontId="64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67" fillId="0" borderId="0" xfId="0" applyFont="1" applyAlignment="1">
      <alignment vertical="top"/>
    </xf>
    <xf numFmtId="0" fontId="26" fillId="0" borderId="0" xfId="0" applyFont="1"/>
    <xf numFmtId="0" fontId="3" fillId="0" borderId="0" xfId="0" applyFont="1" applyAlignment="1">
      <alignment vertical="center"/>
    </xf>
    <xf numFmtId="0" fontId="69" fillId="0" borderId="0" xfId="0" applyFont="1" applyAlignment="1">
      <alignment horizontal="left" vertical="center"/>
    </xf>
    <xf numFmtId="14" fontId="60" fillId="0" borderId="0" xfId="0" applyNumberFormat="1" applyFont="1" applyAlignment="1">
      <alignment horizontal="left" vertical="center"/>
    </xf>
    <xf numFmtId="14" fontId="69" fillId="0" borderId="0" xfId="0" applyNumberFormat="1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1" fillId="12" borderId="1" xfId="0" applyFont="1" applyFill="1" applyBorder="1" applyAlignment="1">
      <alignment horizontal="center" vertical="center" wrapText="1"/>
    </xf>
    <xf numFmtId="0" fontId="72" fillId="13" borderId="68" xfId="0" applyFont="1" applyFill="1" applyBorder="1" applyAlignment="1">
      <alignment horizontal="center" vertical="center" wrapText="1"/>
    </xf>
    <xf numFmtId="0" fontId="72" fillId="13" borderId="13" xfId="0" applyFont="1" applyFill="1" applyBorder="1" applyAlignment="1">
      <alignment horizontal="center" vertical="center" wrapText="1"/>
    </xf>
    <xf numFmtId="0" fontId="72" fillId="13" borderId="63" xfId="0" applyFont="1" applyFill="1" applyBorder="1" applyAlignment="1">
      <alignment horizontal="center" vertical="center" wrapText="1"/>
    </xf>
    <xf numFmtId="0" fontId="73" fillId="13" borderId="1" xfId="0" applyFont="1" applyFill="1" applyBorder="1" applyAlignment="1">
      <alignment horizontal="center" vertical="center" wrapText="1"/>
    </xf>
    <xf numFmtId="0" fontId="74" fillId="15" borderId="6" xfId="0" applyFont="1" applyFill="1" applyBorder="1" applyAlignment="1">
      <alignment horizontal="center" vertical="center" wrapText="1"/>
    </xf>
    <xf numFmtId="0" fontId="73" fillId="13" borderId="8" xfId="0" applyFont="1" applyFill="1" applyBorder="1" applyAlignment="1">
      <alignment horizontal="center" vertical="center" wrapText="1"/>
    </xf>
    <xf numFmtId="0" fontId="74" fillId="14" borderId="3" xfId="0" applyFont="1" applyFill="1" applyBorder="1" applyAlignment="1">
      <alignment horizontal="center" vertical="center" wrapText="1"/>
    </xf>
    <xf numFmtId="0" fontId="0" fillId="14" borderId="0" xfId="0" applyFill="1"/>
    <xf numFmtId="49" fontId="67" fillId="0" borderId="0" xfId="0" applyNumberFormat="1" applyFont="1"/>
    <xf numFmtId="0" fontId="12" fillId="13" borderId="9" xfId="0" applyFont="1" applyFill="1" applyBorder="1"/>
    <xf numFmtId="0" fontId="2" fillId="13" borderId="10" xfId="0" applyFont="1" applyFill="1" applyBorder="1"/>
    <xf numFmtId="0" fontId="2" fillId="13" borderId="11" xfId="0" applyFont="1" applyFill="1" applyBorder="1"/>
    <xf numFmtId="0" fontId="2" fillId="13" borderId="12" xfId="0" applyFont="1" applyFill="1" applyBorder="1"/>
    <xf numFmtId="0" fontId="2" fillId="13" borderId="0" xfId="0" applyFont="1" applyFill="1"/>
    <xf numFmtId="0" fontId="2" fillId="13" borderId="13" xfId="0" applyFont="1" applyFill="1" applyBorder="1"/>
    <xf numFmtId="0" fontId="2" fillId="13" borderId="14" xfId="0" applyFont="1" applyFill="1" applyBorder="1"/>
    <xf numFmtId="0" fontId="2" fillId="13" borderId="2" xfId="0" applyFont="1" applyFill="1" applyBorder="1"/>
    <xf numFmtId="0" fontId="2" fillId="13" borderId="3" xfId="0" applyFont="1" applyFill="1" applyBorder="1"/>
    <xf numFmtId="0" fontId="74" fillId="1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/>
    <xf numFmtId="0" fontId="76" fillId="0" borderId="0" xfId="0" applyFont="1" applyAlignment="1">
      <alignment horizontal="center" vertical="center"/>
    </xf>
    <xf numFmtId="0" fontId="77" fillId="16" borderId="15" xfId="0" applyFont="1" applyFill="1" applyBorder="1" applyAlignment="1">
      <alignment horizontal="center" vertical="center"/>
    </xf>
    <xf numFmtId="0" fontId="77" fillId="16" borderId="11" xfId="0" applyFont="1" applyFill="1" applyBorder="1" applyAlignment="1">
      <alignment horizontal="center" vertical="center"/>
    </xf>
    <xf numFmtId="0" fontId="77" fillId="16" borderId="11" xfId="0" applyFont="1" applyFill="1" applyBorder="1" applyAlignment="1">
      <alignment horizontal="center" vertical="center" wrapText="1"/>
    </xf>
    <xf numFmtId="0" fontId="76" fillId="0" borderId="74" xfId="0" applyFont="1" applyBorder="1" applyAlignment="1">
      <alignment horizontal="center" vertical="center"/>
    </xf>
    <xf numFmtId="169" fontId="76" fillId="0" borderId="74" xfId="0" applyNumberFormat="1" applyFont="1" applyBorder="1" applyAlignment="1">
      <alignment horizontal="center" vertical="center"/>
    </xf>
    <xf numFmtId="44" fontId="76" fillId="0" borderId="75" xfId="0" applyNumberFormat="1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169" fontId="76" fillId="0" borderId="2" xfId="0" applyNumberFormat="1" applyFont="1" applyBorder="1" applyAlignment="1">
      <alignment horizontal="center" vertical="center"/>
    </xf>
    <xf numFmtId="44" fontId="76" fillId="0" borderId="76" xfId="0" applyNumberFormat="1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169" fontId="76" fillId="0" borderId="3" xfId="0" applyNumberFormat="1" applyFont="1" applyBorder="1" applyAlignment="1">
      <alignment horizontal="center" vertical="center"/>
    </xf>
    <xf numFmtId="0" fontId="76" fillId="0" borderId="77" xfId="0" applyFont="1" applyBorder="1" applyAlignment="1">
      <alignment horizontal="center" vertical="center"/>
    </xf>
    <xf numFmtId="169" fontId="76" fillId="0" borderId="77" xfId="0" applyNumberFormat="1" applyFont="1" applyBorder="1" applyAlignment="1">
      <alignment horizontal="center" vertical="center"/>
    </xf>
    <xf numFmtId="44" fontId="76" fillId="0" borderId="62" xfId="0" applyNumberFormat="1" applyFont="1" applyBorder="1" applyAlignment="1">
      <alignment horizontal="center" vertical="center"/>
    </xf>
    <xf numFmtId="169" fontId="1" fillId="0" borderId="77" xfId="0" applyNumberFormat="1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47" fillId="0" borderId="0" xfId="0" applyNumberFormat="1" applyFont="1" applyAlignment="1">
      <alignment horizontal="left" vertical="center"/>
    </xf>
    <xf numFmtId="0" fontId="47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11" borderId="1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left" vertical="center" wrapText="1"/>
    </xf>
    <xf numFmtId="0" fontId="54" fillId="2" borderId="13" xfId="0" applyFont="1" applyFill="1" applyBorder="1" applyAlignment="1">
      <alignment horizontal="left" vertical="center" wrapText="1"/>
    </xf>
    <xf numFmtId="167" fontId="60" fillId="0" borderId="15" xfId="0" applyNumberFormat="1" applyFont="1" applyFill="1" applyBorder="1" applyAlignment="1">
      <alignment horizontal="center" vertical="center" wrapText="1"/>
    </xf>
    <xf numFmtId="167" fontId="60" fillId="0" borderId="7" xfId="0" applyNumberFormat="1" applyFont="1" applyFill="1" applyBorder="1" applyAlignment="1">
      <alignment horizontal="center" vertical="center" wrapText="1"/>
    </xf>
    <xf numFmtId="167" fontId="60" fillId="0" borderId="8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14" fontId="47" fillId="0" borderId="0" xfId="0" applyNumberFormat="1" applyFont="1" applyFill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center"/>
    </xf>
    <xf numFmtId="0" fontId="12" fillId="10" borderId="9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/>
    <xf numFmtId="0" fontId="40" fillId="10" borderId="12" xfId="0" applyFont="1" applyFill="1" applyBorder="1" applyAlignment="1">
      <alignment vertical="center"/>
    </xf>
    <xf numFmtId="0" fontId="0" fillId="0" borderId="0" xfId="0" applyBorder="1" applyAlignment="1"/>
    <xf numFmtId="0" fontId="0" fillId="0" borderId="13" xfId="0" applyBorder="1" applyAlignment="1"/>
    <xf numFmtId="0" fontId="50" fillId="10" borderId="14" xfId="0" applyFont="1" applyFill="1" applyBorder="1" applyAlignment="1">
      <alignment horizontal="left" vertical="center"/>
    </xf>
    <xf numFmtId="0" fontId="50" fillId="10" borderId="2" xfId="0" applyFont="1" applyFill="1" applyBorder="1" applyAlignment="1"/>
    <xf numFmtId="0" fontId="50" fillId="10" borderId="3" xfId="0" applyFont="1" applyFill="1" applyBorder="1" applyAlignment="1"/>
    <xf numFmtId="0" fontId="2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165" fontId="47" fillId="0" borderId="30" xfId="0" applyNumberFormat="1" applyFont="1" applyBorder="1" applyAlignment="1">
      <alignment horizontal="center" vertical="center"/>
    </xf>
    <xf numFmtId="165" fontId="47" fillId="0" borderId="50" xfId="0" applyNumberFormat="1" applyFont="1" applyBorder="1" applyAlignment="1">
      <alignment horizontal="center" vertical="center"/>
    </xf>
    <xf numFmtId="165" fontId="47" fillId="0" borderId="12" xfId="0" applyNumberFormat="1" applyFont="1" applyBorder="1" applyAlignment="1">
      <alignment horizontal="center" vertical="center"/>
    </xf>
    <xf numFmtId="165" fontId="47" fillId="0" borderId="13" xfId="0" applyNumberFormat="1" applyFont="1" applyBorder="1" applyAlignment="1">
      <alignment horizontal="center" vertical="center"/>
    </xf>
    <xf numFmtId="165" fontId="47" fillId="0" borderId="14" xfId="0" applyNumberFormat="1" applyFont="1" applyBorder="1" applyAlignment="1">
      <alignment horizontal="center" vertical="center"/>
    </xf>
    <xf numFmtId="165" fontId="47" fillId="0" borderId="3" xfId="0" applyNumberFormat="1" applyFont="1" applyBorder="1" applyAlignment="1">
      <alignment horizontal="center" vertical="center"/>
    </xf>
    <xf numFmtId="0" fontId="28" fillId="4" borderId="48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44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textRotation="90"/>
    </xf>
    <xf numFmtId="0" fontId="23" fillId="6" borderId="29" xfId="0" applyFont="1" applyFill="1" applyBorder="1" applyAlignment="1">
      <alignment horizontal="center" vertical="center" textRotation="90"/>
    </xf>
    <xf numFmtId="165" fontId="47" fillId="0" borderId="23" xfId="0" applyNumberFormat="1" applyFont="1" applyBorder="1" applyAlignment="1">
      <alignment horizontal="center" vertical="center"/>
    </xf>
    <xf numFmtId="165" fontId="47" fillId="0" borderId="24" xfId="0" applyNumberFormat="1" applyFont="1" applyBorder="1" applyAlignment="1">
      <alignment horizontal="center" vertical="center"/>
    </xf>
    <xf numFmtId="165" fontId="47" fillId="0" borderId="5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textRotation="90"/>
    </xf>
    <xf numFmtId="0" fontId="23" fillId="5" borderId="24" xfId="0" applyFont="1" applyFill="1" applyBorder="1" applyAlignment="1">
      <alignment horizontal="center" vertical="center" textRotation="90"/>
    </xf>
    <xf numFmtId="0" fontId="23" fillId="5" borderId="25" xfId="0" applyFont="1" applyFill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9" fontId="0" fillId="0" borderId="26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9" fontId="1" fillId="0" borderId="23" xfId="0" applyNumberFormat="1" applyFont="1" applyBorder="1" applyAlignment="1">
      <alignment horizontal="center" vertical="center" wrapText="1"/>
    </xf>
    <xf numFmtId="9" fontId="1" fillId="0" borderId="25" xfId="0" applyNumberFormat="1" applyFont="1" applyBorder="1" applyAlignment="1">
      <alignment horizontal="center" vertical="center" wrapText="1"/>
    </xf>
    <xf numFmtId="9" fontId="1" fillId="0" borderId="24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9" fontId="1" fillId="0" borderId="43" xfId="0" applyNumberFormat="1" applyFon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75" fillId="16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1" fillId="4" borderId="33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165" fontId="47" fillId="0" borderId="3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65" fontId="47" fillId="0" borderId="41" xfId="0" applyNumberFormat="1" applyFont="1" applyBorder="1" applyAlignment="1">
      <alignment horizontal="center" vertical="center"/>
    </xf>
    <xf numFmtId="165" fontId="47" fillId="0" borderId="42" xfId="0" applyNumberFormat="1" applyFont="1" applyBorder="1" applyAlignment="1">
      <alignment horizontal="center" vertical="center"/>
    </xf>
    <xf numFmtId="165" fontId="47" fillId="0" borderId="15" xfId="0" applyNumberFormat="1" applyFont="1" applyBorder="1" applyAlignment="1">
      <alignment horizontal="center" vertical="center"/>
    </xf>
    <xf numFmtId="165" fontId="47" fillId="0" borderId="6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165" fontId="47" fillId="0" borderId="0" xfId="0" applyNumberFormat="1" applyFont="1" applyBorder="1" applyAlignment="1">
      <alignment horizontal="center" vertical="center"/>
    </xf>
    <xf numFmtId="165" fontId="47" fillId="0" borderId="63" xfId="0" applyNumberFormat="1" applyFont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vertical="center" wrapText="1"/>
    </xf>
    <xf numFmtId="0" fontId="28" fillId="4" borderId="64" xfId="0" applyFont="1" applyFill="1" applyBorder="1" applyAlignment="1">
      <alignment horizontal="center" vertical="center" wrapText="1"/>
    </xf>
    <xf numFmtId="0" fontId="28" fillId="4" borderId="40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top" wrapText="1"/>
    </xf>
    <xf numFmtId="0" fontId="0" fillId="0" borderId="61" xfId="0" applyBorder="1" applyAlignment="1">
      <alignment horizontal="center" vertical="top"/>
    </xf>
    <xf numFmtId="0" fontId="0" fillId="0" borderId="62" xfId="0" applyBorder="1" applyAlignment="1">
      <alignment horizontal="center" vertical="top"/>
    </xf>
    <xf numFmtId="0" fontId="28" fillId="4" borderId="15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74" fillId="14" borderId="4" xfId="0" applyFont="1" applyFill="1" applyBorder="1" applyAlignment="1">
      <alignment horizontal="center" vertical="center" wrapText="1"/>
    </xf>
    <xf numFmtId="0" fontId="74" fillId="14" borderId="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71" fillId="12" borderId="69" xfId="0" applyFont="1" applyFill="1" applyBorder="1" applyAlignment="1">
      <alignment horizontal="center" vertical="center" wrapText="1"/>
    </xf>
    <xf numFmtId="0" fontId="71" fillId="12" borderId="66" xfId="0" applyFont="1" applyFill="1" applyBorder="1" applyAlignment="1">
      <alignment horizontal="center" vertical="center" wrapText="1"/>
    </xf>
    <xf numFmtId="0" fontId="71" fillId="12" borderId="70" xfId="0" applyFont="1" applyFill="1" applyBorder="1" applyAlignment="1">
      <alignment horizontal="center" vertical="center" wrapText="1"/>
    </xf>
    <xf numFmtId="0" fontId="71" fillId="12" borderId="6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78" fillId="17" borderId="1" xfId="0" applyNumberFormat="1" applyFont="1" applyFill="1" applyBorder="1" applyAlignment="1">
      <alignment horizontal="center" vertical="center" wrapText="1"/>
    </xf>
    <xf numFmtId="0" fontId="79" fillId="0" borderId="0" xfId="0" applyFont="1"/>
    <xf numFmtId="169" fontId="76" fillId="0" borderId="81" xfId="0" applyNumberFormat="1" applyFont="1" applyFill="1" applyBorder="1" applyAlignment="1">
      <alignment horizontal="center" vertical="center"/>
    </xf>
    <xf numFmtId="169" fontId="76" fillId="0" borderId="82" xfId="0" applyNumberFormat="1" applyFont="1" applyFill="1" applyBorder="1" applyAlignment="1">
      <alignment horizontal="center" vertical="center"/>
    </xf>
    <xf numFmtId="169" fontId="80" fillId="0" borderId="82" xfId="0" applyNumberFormat="1" applyFont="1" applyFill="1" applyBorder="1" applyAlignment="1">
      <alignment horizontal="center" vertical="center"/>
    </xf>
    <xf numFmtId="169" fontId="80" fillId="0" borderId="8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CCCCFF"/>
      <color rgb="FFF3EAFF"/>
      <color rgb="FF0000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370117</xdr:colOff>
      <xdr:row>2</xdr:row>
      <xdr:rowOff>723900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5E8C9B81-AB5C-4FFA-92E1-C395A4C43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4117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370117</xdr:colOff>
      <xdr:row>2</xdr:row>
      <xdr:rowOff>723900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E1057E79-A669-4AAB-8941-371642CA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4117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260371</xdr:colOff>
      <xdr:row>21</xdr:row>
      <xdr:rowOff>66618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D9594859-8F33-4D51-A6B4-BC42B274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67850"/>
          <a:ext cx="1784371" cy="4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1784127</xdr:colOff>
      <xdr:row>42</xdr:row>
      <xdr:rowOff>103357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6186DD-D21D-4D55-B913-502604BDE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75964"/>
          <a:ext cx="1784127" cy="457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84667</xdr:rowOff>
    </xdr:from>
    <xdr:to>
      <xdr:col>1</xdr:col>
      <xdr:colOff>1424294</xdr:colOff>
      <xdr:row>38</xdr:row>
      <xdr:rowOff>33810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924922-EAA4-4EC9-9C5F-356EFB619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88084"/>
          <a:ext cx="1784127" cy="457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1</xdr:col>
      <xdr:colOff>969210</xdr:colOff>
      <xdr:row>59</xdr:row>
      <xdr:rowOff>107893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AAB7EF-A3D7-4CDD-AE18-B2CB57737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09667"/>
          <a:ext cx="1784127" cy="4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9525</xdr:rowOff>
    </xdr:from>
    <xdr:to>
      <xdr:col>1</xdr:col>
      <xdr:colOff>155352</xdr:colOff>
      <xdr:row>27</xdr:row>
      <xdr:rowOff>85668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BE9778-CC22-4582-9EBF-2F8EB2279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784127" cy="4571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81643</xdr:rowOff>
    </xdr:from>
    <xdr:to>
      <xdr:col>0</xdr:col>
      <xdr:colOff>1784127</xdr:colOff>
      <xdr:row>39</xdr:row>
      <xdr:rowOff>21715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113056-3D00-4A46-BB62-BDDF20E8E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42072"/>
          <a:ext cx="1784127" cy="45714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56029</xdr:rowOff>
    </xdr:from>
    <xdr:to>
      <xdr:col>1</xdr:col>
      <xdr:colOff>1223833</xdr:colOff>
      <xdr:row>42</xdr:row>
      <xdr:rowOff>8908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C052F1-5F0E-419A-9E4B-6430BEC3F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54353"/>
          <a:ext cx="1784127" cy="4571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260127</xdr:colOff>
      <xdr:row>17</xdr:row>
      <xdr:rowOff>104718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5E8BF7-161A-46B6-8E9A-EA040219C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95875"/>
          <a:ext cx="1784127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9525</xdr:rowOff>
    </xdr:from>
    <xdr:to>
      <xdr:col>2</xdr:col>
      <xdr:colOff>164877</xdr:colOff>
      <xdr:row>33</xdr:row>
      <xdr:rowOff>114243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E910A7C-E000-422B-B2CE-F44139358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10725"/>
          <a:ext cx="1784127" cy="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79152</xdr:colOff>
      <xdr:row>17</xdr:row>
      <xdr:rowOff>104718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CCF61F-9B92-40D4-8753-1A14C652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67200"/>
          <a:ext cx="1784127" cy="4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260127</xdr:colOff>
      <xdr:row>36</xdr:row>
      <xdr:rowOff>76143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D2C10BE-FD2A-413D-B43F-5F7070307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25971"/>
          <a:ext cx="1784127" cy="4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1784127</xdr:colOff>
      <xdr:row>45</xdr:row>
      <xdr:rowOff>103357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D8028D-3F9C-4112-BC4D-EF02EB52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18321"/>
          <a:ext cx="1784127" cy="4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</xdr:col>
      <xdr:colOff>349774</xdr:colOff>
      <xdr:row>38</xdr:row>
      <xdr:rowOff>143378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AD32F47-51AD-43FF-9BC1-C15DA710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76882"/>
          <a:ext cx="1784127" cy="4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1788890</xdr:colOff>
      <xdr:row>47</xdr:row>
      <xdr:rowOff>133293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F6F6BC-6B7A-496B-B85E-A2FDB4B72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06025"/>
          <a:ext cx="1784127" cy="4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145827</xdr:colOff>
      <xdr:row>37</xdr:row>
      <xdr:rowOff>76143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604A5F-C260-4E15-9F0C-BBA74D5FC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05725"/>
          <a:ext cx="1784127" cy="4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450627</xdr:colOff>
      <xdr:row>34</xdr:row>
      <xdr:rowOff>104718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81D994-48D0-4694-88DD-E93EEC03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1784127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E8D-9892-4AED-91F1-79690586AE30}">
  <dimension ref="A1:H21"/>
  <sheetViews>
    <sheetView showGridLines="0" tabSelected="1" zoomScaleNormal="100" workbookViewId="0">
      <selection activeCell="H21" sqref="H21"/>
    </sheetView>
  </sheetViews>
  <sheetFormatPr baseColWidth="10" defaultRowHeight="13.2" x14ac:dyDescent="0.25"/>
  <sheetData>
    <row r="1" spans="1:8" x14ac:dyDescent="0.25">
      <c r="A1" s="317" t="s">
        <v>199</v>
      </c>
      <c r="B1" s="318"/>
      <c r="C1" s="318"/>
      <c r="D1" s="318"/>
      <c r="E1" s="318"/>
      <c r="F1" s="318"/>
      <c r="G1" s="318"/>
      <c r="H1" s="318"/>
    </row>
    <row r="2" spans="1:8" x14ac:dyDescent="0.25">
      <c r="A2" s="318"/>
      <c r="B2" s="318"/>
      <c r="C2" s="318"/>
      <c r="D2" s="318"/>
      <c r="E2" s="318"/>
      <c r="F2" s="318"/>
      <c r="G2" s="318"/>
      <c r="H2" s="318"/>
    </row>
    <row r="3" spans="1:8" ht="123.75" customHeight="1" x14ac:dyDescent="0.25">
      <c r="A3" s="318"/>
      <c r="B3" s="318"/>
      <c r="C3" s="318"/>
      <c r="D3" s="318"/>
      <c r="E3" s="318"/>
      <c r="F3" s="318"/>
      <c r="G3" s="318"/>
      <c r="H3" s="318"/>
    </row>
    <row r="4" spans="1:8" ht="39.75" customHeight="1" x14ac:dyDescent="0.25">
      <c r="A4" s="316" t="s">
        <v>213</v>
      </c>
      <c r="B4" s="316"/>
      <c r="C4" s="316"/>
      <c r="D4" s="316"/>
      <c r="E4" s="316"/>
      <c r="F4" s="316"/>
      <c r="G4" s="316"/>
      <c r="H4" s="150">
        <v>2</v>
      </c>
    </row>
    <row r="5" spans="1:8" ht="39.75" customHeight="1" x14ac:dyDescent="0.25">
      <c r="A5" s="316" t="s">
        <v>214</v>
      </c>
      <c r="B5" s="316"/>
      <c r="C5" s="316"/>
      <c r="D5" s="316"/>
      <c r="E5" s="316"/>
      <c r="F5" s="316"/>
      <c r="G5" s="316"/>
      <c r="H5" s="150">
        <v>3</v>
      </c>
    </row>
    <row r="6" spans="1:8" ht="39.75" customHeight="1" x14ac:dyDescent="0.25">
      <c r="A6" s="316" t="s">
        <v>200</v>
      </c>
      <c r="B6" s="316"/>
      <c r="C6" s="316"/>
      <c r="D6" s="316"/>
      <c r="E6" s="316"/>
      <c r="F6" s="316"/>
      <c r="G6" s="316"/>
      <c r="H6" s="150">
        <v>4</v>
      </c>
    </row>
    <row r="7" spans="1:8" ht="39.75" customHeight="1" x14ac:dyDescent="0.25">
      <c r="A7" s="316" t="s">
        <v>201</v>
      </c>
      <c r="B7" s="316"/>
      <c r="C7" s="316"/>
      <c r="D7" s="316"/>
      <c r="E7" s="316"/>
      <c r="F7" s="316"/>
      <c r="G7" s="316"/>
      <c r="H7" s="150">
        <v>5</v>
      </c>
    </row>
    <row r="8" spans="1:8" ht="39.75" customHeight="1" x14ac:dyDescent="0.25">
      <c r="A8" s="316" t="s">
        <v>202</v>
      </c>
      <c r="B8" s="316"/>
      <c r="C8" s="316"/>
      <c r="D8" s="316"/>
      <c r="E8" s="316"/>
      <c r="F8" s="316"/>
      <c r="G8" s="316"/>
      <c r="H8" s="150">
        <v>6</v>
      </c>
    </row>
    <row r="9" spans="1:8" ht="39.75" customHeight="1" x14ac:dyDescent="0.25">
      <c r="A9" s="316" t="s">
        <v>203</v>
      </c>
      <c r="B9" s="316"/>
      <c r="C9" s="316"/>
      <c r="D9" s="316"/>
      <c r="E9" s="316"/>
      <c r="F9" s="316"/>
      <c r="G9" s="316"/>
      <c r="H9" s="150">
        <v>7</v>
      </c>
    </row>
    <row r="10" spans="1:8" ht="39.75" customHeight="1" x14ac:dyDescent="0.25">
      <c r="A10" s="316" t="s">
        <v>204</v>
      </c>
      <c r="B10" s="316"/>
      <c r="C10" s="316"/>
      <c r="D10" s="316"/>
      <c r="E10" s="316"/>
      <c r="F10" s="316"/>
      <c r="G10" s="316"/>
      <c r="H10" s="150">
        <v>8</v>
      </c>
    </row>
    <row r="11" spans="1:8" ht="39.75" customHeight="1" x14ac:dyDescent="0.25">
      <c r="A11" s="316" t="s">
        <v>205</v>
      </c>
      <c r="B11" s="316"/>
      <c r="C11" s="316"/>
      <c r="D11" s="316"/>
      <c r="E11" s="316"/>
      <c r="F11" s="316"/>
      <c r="G11" s="316"/>
      <c r="H11" s="150">
        <v>9</v>
      </c>
    </row>
    <row r="12" spans="1:8" ht="39.75" customHeight="1" x14ac:dyDescent="0.25">
      <c r="A12" s="316" t="s">
        <v>206</v>
      </c>
      <c r="B12" s="316"/>
      <c r="C12" s="316"/>
      <c r="D12" s="316"/>
      <c r="E12" s="316"/>
      <c r="F12" s="316"/>
      <c r="G12" s="316"/>
      <c r="H12" s="150">
        <v>10</v>
      </c>
    </row>
    <row r="13" spans="1:8" ht="39.75" customHeight="1" x14ac:dyDescent="0.25">
      <c r="A13" s="316" t="s">
        <v>290</v>
      </c>
      <c r="B13" s="316"/>
      <c r="C13" s="316"/>
      <c r="D13" s="316"/>
      <c r="E13" s="316"/>
      <c r="F13" s="316"/>
      <c r="G13" s="316"/>
      <c r="H13" s="150">
        <v>11</v>
      </c>
    </row>
    <row r="14" spans="1:8" ht="39.75" customHeight="1" x14ac:dyDescent="0.25">
      <c r="A14" s="316" t="s">
        <v>207</v>
      </c>
      <c r="B14" s="316"/>
      <c r="C14" s="316"/>
      <c r="D14" s="316"/>
      <c r="E14" s="316"/>
      <c r="F14" s="316"/>
      <c r="G14" s="316"/>
      <c r="H14" s="150">
        <v>12</v>
      </c>
    </row>
    <row r="15" spans="1:8" ht="39.75" customHeight="1" x14ac:dyDescent="0.25">
      <c r="A15" s="316" t="s">
        <v>328</v>
      </c>
      <c r="B15" s="316"/>
      <c r="C15" s="316"/>
      <c r="D15" s="316"/>
      <c r="E15" s="316"/>
      <c r="F15" s="316"/>
      <c r="G15" s="316"/>
      <c r="H15" s="150">
        <v>13</v>
      </c>
    </row>
    <row r="16" spans="1:8" ht="39.75" customHeight="1" x14ac:dyDescent="0.25">
      <c r="A16" s="316" t="s">
        <v>291</v>
      </c>
      <c r="B16" s="316"/>
      <c r="C16" s="316"/>
      <c r="D16" s="316"/>
      <c r="E16" s="316"/>
      <c r="F16" s="316"/>
      <c r="G16" s="316"/>
      <c r="H16" s="176"/>
    </row>
    <row r="17" spans="1:8" ht="39.75" customHeight="1" x14ac:dyDescent="0.25">
      <c r="A17" s="316" t="s">
        <v>208</v>
      </c>
      <c r="B17" s="316"/>
      <c r="C17" s="316"/>
      <c r="D17" s="316"/>
      <c r="E17" s="316"/>
      <c r="F17" s="316"/>
      <c r="G17" s="316"/>
      <c r="H17" s="150">
        <v>14</v>
      </c>
    </row>
    <row r="18" spans="1:8" ht="39.75" customHeight="1" x14ac:dyDescent="0.25">
      <c r="A18" s="316" t="s">
        <v>209</v>
      </c>
      <c r="B18" s="316"/>
      <c r="C18" s="316"/>
      <c r="D18" s="316"/>
      <c r="E18" s="316"/>
      <c r="F18" s="316"/>
      <c r="G18" s="316"/>
      <c r="H18" s="150">
        <v>15</v>
      </c>
    </row>
    <row r="19" spans="1:8" ht="39.75" customHeight="1" x14ac:dyDescent="0.25">
      <c r="A19" s="316" t="s">
        <v>210</v>
      </c>
      <c r="B19" s="316"/>
      <c r="C19" s="316"/>
      <c r="D19" s="316"/>
      <c r="E19" s="316"/>
      <c r="F19" s="316"/>
      <c r="G19" s="316"/>
      <c r="H19" s="150">
        <v>16</v>
      </c>
    </row>
    <row r="20" spans="1:8" ht="15.6" x14ac:dyDescent="0.25">
      <c r="H20" s="150"/>
    </row>
    <row r="21" spans="1:8" ht="14.4" x14ac:dyDescent="0.3">
      <c r="G21" s="149"/>
      <c r="H21" s="29" t="s">
        <v>331</v>
      </c>
    </row>
  </sheetData>
  <sheetProtection algorithmName="SHA-512" hashValue="gyCUsJBkoZ3ZrwwlkGBcOQiYBih/JO+UH9k20tXTYuGwEStrLrXZALiM0a9/nZAYs4kz6ZjQFcurmgtoUuyrRg==" saltValue="nZnh29EYzEmDRSuNxLKnUg==" spinCount="100000" sheet="1" objects="1" scenarios="1"/>
  <mergeCells count="17">
    <mergeCell ref="A1:H3"/>
    <mergeCell ref="A4:G4"/>
    <mergeCell ref="A5:G5"/>
    <mergeCell ref="A11:G11"/>
    <mergeCell ref="A12:G12"/>
    <mergeCell ref="A6:G6"/>
    <mergeCell ref="A7:G7"/>
    <mergeCell ref="A8:G8"/>
    <mergeCell ref="A9:G9"/>
    <mergeCell ref="A10:G10"/>
    <mergeCell ref="A17:G17"/>
    <mergeCell ref="A18:G18"/>
    <mergeCell ref="A19:G19"/>
    <mergeCell ref="A13:G13"/>
    <mergeCell ref="A14:G14"/>
    <mergeCell ref="A15:G15"/>
    <mergeCell ref="A16:G16"/>
  </mergeCells>
  <hyperlinks>
    <hyperlink ref="A16:H16" location="LEGAL!A1" display="   Marché financier (se référer aux dispostions légales)" xr:uid="{7994F8C8-4B76-4887-BF2B-AB9B927220D6}"/>
    <hyperlink ref="A5:G5" location="LEGAL!A1" display="   Rémunération légale" xr:uid="{8226234E-6A2B-4F01-8502-E5DF30DB4E28}"/>
    <hyperlink ref="A4:G4" location="DUREE!A1" display="   Durées de formation maximum et minimum selon la durée du contrat" xr:uid="{436419D6-360C-4BD3-8FEB-D82B4721A1B1}"/>
    <hyperlink ref="A19:G19" location="'Sociétés financières'!A1" display="   Sociétés financières" xr:uid="{70E25242-E37E-448F-9B37-82FEAD936C3A}"/>
    <hyperlink ref="A18:G18" location="'Sociétés d''assurance'!A1" display="   Sociétés d'assurance" xr:uid="{79E8541B-DB9B-4635-9F41-60805008791E}"/>
    <hyperlink ref="A17:G17" location="'Sociétés d''assistance'!A1" display="   Sociétés d'assistance" xr:uid="{4523B901-2E09-4DD7-9D12-B55B3D866706}"/>
    <hyperlink ref="A14:G14" location="'Experts comptables et CAC'!A1" display="   Experts-comptables et commissaires au comptes" xr:uid="{ADECD4D3-0958-41E0-8CBA-E51DDC682B77}"/>
    <hyperlink ref="A13:G13" location="'Economistes de la construction'!A1" display="   Economistes de la construction" xr:uid="{B10D75FB-94B2-4A53-9A43-F985C03257B7}"/>
    <hyperlink ref="A12:G12" location="'Crédit mutuel'!A1" display="   Crédit mutuel" xr:uid="{AA57C160-5ABC-4FC5-87E6-E70576CEC4E5}"/>
    <hyperlink ref="A11:G11" location="'Courtage d''assurance'!A1" display="   Courtage d'assurance et réassurance" xr:uid="{2F51115A-7882-4EA0-985C-6B7F7D94FC52}"/>
    <hyperlink ref="A10:G10" location="'Caisse d''épargne'!A1" display="   Caisse d'épargne" xr:uid="{EBF2A7AD-6EA0-40AB-BECB-46CD8C12AEF2}"/>
    <hyperlink ref="A9:G9" location="'Bureaux d''études'!A1" display="   Bureaux d'études techniques ingénieurs et conseils" xr:uid="{6F3500A7-9D59-48CA-B355-CB1A2DE982BE}"/>
    <hyperlink ref="A8:G8" location="'Banque populaire'!A1" display="   Banque populaire" xr:uid="{68B835C2-E5E8-43E0-8C43-7642E3E826E1}"/>
    <hyperlink ref="A7:G7" location="Banque!A1" display="   Banque" xr:uid="{225E60CE-F5CA-4429-BE9C-1EB581D98DC6}"/>
    <hyperlink ref="A6:G6" location="'Agents généraux d''assurance'!A1" display="   Agents généraux d'assurance" xr:uid="{4CBFDE2A-1690-468C-869D-EEBD1A646F5A}"/>
    <hyperlink ref="A15:G15" location="'Géomètres experts'!A1" display="   Géomètres experts" xr:uid="{0F0BBC26-2E9E-4193-A8E0-FD64E30C5A94}"/>
  </hyperlinks>
  <pageMargins left="0.7" right="0.7" top="0.75" bottom="0.75" header="0.3" footer="0.3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3"/>
  <sheetViews>
    <sheetView showGridLines="0" zoomScale="80" zoomScaleNormal="80" workbookViewId="0">
      <selection activeCell="E42" sqref="E42"/>
    </sheetView>
  </sheetViews>
  <sheetFormatPr baseColWidth="10" defaultRowHeight="13.2" x14ac:dyDescent="0.25"/>
  <cols>
    <col min="1" max="1" width="45.5546875" customWidth="1"/>
    <col min="2" max="2" width="33.88671875" bestFit="1" customWidth="1"/>
    <col min="3" max="4" width="14.5546875" customWidth="1"/>
    <col min="5" max="5" width="14.6640625" customWidth="1"/>
    <col min="9" max="9" width="10.88671875" style="99"/>
  </cols>
  <sheetData>
    <row r="1" spans="1:9" ht="14.4" x14ac:dyDescent="0.25">
      <c r="A1" s="152" t="s">
        <v>255</v>
      </c>
      <c r="B1" s="154"/>
      <c r="C1" s="319" t="s">
        <v>256</v>
      </c>
      <c r="D1" s="319"/>
      <c r="E1" s="319"/>
      <c r="I1"/>
    </row>
    <row r="2" spans="1:9" ht="33.6" x14ac:dyDescent="0.25">
      <c r="A2" s="342" t="s">
        <v>225</v>
      </c>
      <c r="B2" s="342"/>
      <c r="C2" s="342"/>
      <c r="D2" s="342"/>
      <c r="E2" s="342"/>
      <c r="F2" s="155"/>
      <c r="G2" s="155"/>
      <c r="H2" s="155"/>
    </row>
    <row r="3" spans="1:9" ht="17.399999999999999" x14ac:dyDescent="0.3">
      <c r="A3" s="358" t="s">
        <v>182</v>
      </c>
      <c r="B3" s="358"/>
      <c r="C3" s="358"/>
      <c r="D3" s="358"/>
      <c r="E3" s="358"/>
      <c r="F3" s="41"/>
      <c r="G3" s="41"/>
    </row>
    <row r="4" spans="1:9" ht="17.399999999999999" x14ac:dyDescent="0.3">
      <c r="A4" s="358" t="s">
        <v>104</v>
      </c>
      <c r="B4" s="358"/>
      <c r="C4" s="358"/>
      <c r="D4" s="358"/>
      <c r="E4" s="358"/>
    </row>
    <row r="7" spans="1:9" ht="13.8" x14ac:dyDescent="0.25">
      <c r="A7" s="112" t="s">
        <v>18</v>
      </c>
      <c r="B7" s="167">
        <v>44197</v>
      </c>
      <c r="C7" s="113"/>
      <c r="D7" s="18"/>
      <c r="E7" s="34"/>
      <c r="F7" s="18"/>
      <c r="G7" s="18"/>
    </row>
    <row r="8" spans="1:9" ht="13.8" x14ac:dyDescent="0.25">
      <c r="A8" s="112" t="s">
        <v>17</v>
      </c>
      <c r="B8" s="169" t="s">
        <v>25</v>
      </c>
      <c r="C8" s="114"/>
      <c r="D8" s="114"/>
      <c r="E8" s="34"/>
      <c r="F8" s="18"/>
      <c r="G8" s="18"/>
    </row>
    <row r="9" spans="1:9" ht="13.8" x14ac:dyDescent="0.25">
      <c r="A9" s="112" t="s">
        <v>22</v>
      </c>
      <c r="B9" s="169" t="s">
        <v>237</v>
      </c>
      <c r="C9" s="114"/>
      <c r="D9" s="114"/>
      <c r="E9" s="35"/>
      <c r="F9" s="18"/>
      <c r="G9" s="18"/>
    </row>
    <row r="10" spans="1:9" ht="13.8" x14ac:dyDescent="0.25">
      <c r="B10" s="218"/>
    </row>
    <row r="11" spans="1:9" ht="13.8" x14ac:dyDescent="0.25">
      <c r="A11" s="100" t="s">
        <v>190</v>
      </c>
      <c r="B11" s="219">
        <v>1589.47</v>
      </c>
    </row>
    <row r="12" spans="1:9" ht="23.1" customHeight="1" x14ac:dyDescent="0.25"/>
    <row r="13" spans="1:9" ht="24.6" customHeight="1" x14ac:dyDescent="0.25">
      <c r="I13" s="133"/>
    </row>
    <row r="14" spans="1:9" ht="24.9" customHeight="1" x14ac:dyDescent="0.25">
      <c r="A14" s="356" t="s">
        <v>1</v>
      </c>
      <c r="B14" s="403" t="s">
        <v>12</v>
      </c>
      <c r="C14" s="356" t="s">
        <v>23</v>
      </c>
      <c r="D14" s="356"/>
      <c r="E14" s="356"/>
      <c r="I14" s="134"/>
    </row>
    <row r="15" spans="1:9" ht="15.6" x14ac:dyDescent="0.25">
      <c r="A15" s="356"/>
      <c r="B15" s="403"/>
      <c r="C15" s="354" t="s">
        <v>287</v>
      </c>
      <c r="D15" s="355"/>
      <c r="E15" s="233" t="s">
        <v>274</v>
      </c>
      <c r="F15" s="220"/>
      <c r="G15" s="220"/>
      <c r="I15" s="134"/>
    </row>
    <row r="16" spans="1:9" ht="15.6" x14ac:dyDescent="0.25">
      <c r="A16" s="356"/>
      <c r="B16" s="403"/>
      <c r="C16" s="233" t="s">
        <v>163</v>
      </c>
      <c r="D16" s="233" t="s">
        <v>279</v>
      </c>
      <c r="E16" s="233" t="s">
        <v>21</v>
      </c>
      <c r="F16" s="221"/>
      <c r="G16" s="220"/>
      <c r="I16" s="134"/>
    </row>
    <row r="17" spans="1:9" ht="39.75" customHeight="1" x14ac:dyDescent="0.25">
      <c r="A17" s="249" t="s">
        <v>168</v>
      </c>
      <c r="B17" s="250">
        <v>20600</v>
      </c>
      <c r="C17" s="251">
        <f>B17*70%/12</f>
        <v>1201.6666666666665</v>
      </c>
      <c r="D17" s="251">
        <f>B17*80%/12</f>
        <v>1373.3333333333333</v>
      </c>
      <c r="E17" s="252">
        <f>IF(B17*85%/12&gt;=B11,B17*85%/12,B11)</f>
        <v>1589.47</v>
      </c>
      <c r="F17" s="222"/>
      <c r="G17" s="220"/>
      <c r="I17" s="134"/>
    </row>
    <row r="18" spans="1:9" ht="39.75" customHeight="1" x14ac:dyDescent="0.25">
      <c r="A18" s="249" t="s">
        <v>154</v>
      </c>
      <c r="B18" s="250">
        <v>23000</v>
      </c>
      <c r="C18" s="251">
        <f t="shared" ref="C18:C27" si="0">B18*70%/12</f>
        <v>1341.6666666666665</v>
      </c>
      <c r="D18" s="251">
        <f t="shared" ref="D18:D27" si="1">B18*80%/12</f>
        <v>1533.3333333333333</v>
      </c>
      <c r="E18" s="253">
        <f>IF(B18*85%/12&gt;=B11,B18*85%/12,B11)</f>
        <v>1629.1666666666667</v>
      </c>
      <c r="I18" s="134"/>
    </row>
    <row r="19" spans="1:9" ht="39.75" customHeight="1" x14ac:dyDescent="0.25">
      <c r="A19" s="249" t="s">
        <v>155</v>
      </c>
      <c r="B19" s="250">
        <v>26300</v>
      </c>
      <c r="C19" s="251">
        <f t="shared" si="0"/>
        <v>1534.1666666666667</v>
      </c>
      <c r="D19" s="251">
        <f t="shared" si="1"/>
        <v>1753.3333333333333</v>
      </c>
      <c r="E19" s="253">
        <f>IF(B19*85%/12&gt;=B11,B19*85%/12,B11)</f>
        <v>1862.9166666666667</v>
      </c>
      <c r="I19" s="134"/>
    </row>
    <row r="20" spans="1:9" ht="39.75" customHeight="1" x14ac:dyDescent="0.25">
      <c r="A20" s="249" t="s">
        <v>169</v>
      </c>
      <c r="B20" s="250">
        <v>27000</v>
      </c>
      <c r="C20" s="251">
        <f t="shared" si="0"/>
        <v>1575</v>
      </c>
      <c r="D20" s="251">
        <f t="shared" si="1"/>
        <v>1800</v>
      </c>
      <c r="E20" s="253">
        <f>IF(B20*85%/12&gt;=B11,B20*85%/12,B11)</f>
        <v>1912.5</v>
      </c>
      <c r="I20" s="134"/>
    </row>
    <row r="21" spans="1:9" ht="39.75" customHeight="1" x14ac:dyDescent="0.25">
      <c r="A21" s="249" t="s">
        <v>156</v>
      </c>
      <c r="B21" s="250">
        <v>29000</v>
      </c>
      <c r="C21" s="251">
        <f t="shared" si="0"/>
        <v>1691.6666666666667</v>
      </c>
      <c r="D21" s="251">
        <f t="shared" si="1"/>
        <v>1933.3333333333333</v>
      </c>
      <c r="E21" s="253">
        <f>IF(B21*85%/12&gt;=B11,B21*85%/12,B11)</f>
        <v>2054.1666666666665</v>
      </c>
      <c r="I21" s="134"/>
    </row>
    <row r="22" spans="1:9" ht="39.75" customHeight="1" x14ac:dyDescent="0.25">
      <c r="A22" s="249" t="s">
        <v>157</v>
      </c>
      <c r="B22" s="250">
        <v>27200</v>
      </c>
      <c r="C22" s="251">
        <f t="shared" si="0"/>
        <v>1586.6666666666667</v>
      </c>
      <c r="D22" s="251">
        <f t="shared" si="1"/>
        <v>1813.3333333333333</v>
      </c>
      <c r="E22" s="253">
        <f>IF(B22*85%/12&gt;=B11,B22*85%/12,B11)</f>
        <v>1926.6666666666667</v>
      </c>
      <c r="I22" s="134"/>
    </row>
    <row r="23" spans="1:9" ht="39.75" customHeight="1" x14ac:dyDescent="0.25">
      <c r="A23" s="249" t="s">
        <v>158</v>
      </c>
      <c r="B23" s="250">
        <v>27000</v>
      </c>
      <c r="C23" s="251">
        <f t="shared" si="0"/>
        <v>1575</v>
      </c>
      <c r="D23" s="251">
        <f t="shared" si="1"/>
        <v>1800</v>
      </c>
      <c r="E23" s="253">
        <f>IF(B23*85%/12&gt;=B11,B23*85%/12,B11)</f>
        <v>1912.5</v>
      </c>
      <c r="I23" s="134"/>
    </row>
    <row r="24" spans="1:9" ht="39.75" customHeight="1" x14ac:dyDescent="0.25">
      <c r="A24" s="249" t="s">
        <v>159</v>
      </c>
      <c r="B24" s="250">
        <v>35300</v>
      </c>
      <c r="C24" s="251">
        <f t="shared" si="0"/>
        <v>2059.1666666666665</v>
      </c>
      <c r="D24" s="251">
        <f t="shared" si="1"/>
        <v>2353.3333333333335</v>
      </c>
      <c r="E24" s="253">
        <f>IF(B24*85%/12&gt;=B11,B24*85%/12,B11)</f>
        <v>2500.4166666666665</v>
      </c>
      <c r="I24" s="134"/>
    </row>
    <row r="25" spans="1:9" ht="39.75" customHeight="1" x14ac:dyDescent="0.25">
      <c r="A25" s="249" t="s">
        <v>160</v>
      </c>
      <c r="B25" s="250">
        <v>29000</v>
      </c>
      <c r="C25" s="251">
        <f t="shared" si="0"/>
        <v>1691.6666666666667</v>
      </c>
      <c r="D25" s="251">
        <f t="shared" si="1"/>
        <v>1933.3333333333333</v>
      </c>
      <c r="E25" s="253">
        <f>IF(B25*85%/12&gt;=B11,B25*85%/12,B11)</f>
        <v>2054.1666666666665</v>
      </c>
      <c r="I25" s="134"/>
    </row>
    <row r="26" spans="1:9" s="59" customFormat="1" ht="39.75" customHeight="1" x14ac:dyDescent="0.25">
      <c r="A26" s="249" t="s">
        <v>161</v>
      </c>
      <c r="B26" s="250">
        <v>20700</v>
      </c>
      <c r="C26" s="251">
        <f t="shared" si="0"/>
        <v>1207.4999999999998</v>
      </c>
      <c r="D26" s="251">
        <f t="shared" si="1"/>
        <v>1380</v>
      </c>
      <c r="E26" s="253">
        <f>IF(B26*85%/12&gt;=B11,B26*85%/12,B11)</f>
        <v>1589.47</v>
      </c>
      <c r="F26"/>
      <c r="G26"/>
      <c r="H26"/>
      <c r="I26" s="135"/>
    </row>
    <row r="27" spans="1:9" s="59" customFormat="1" ht="39.75" customHeight="1" x14ac:dyDescent="0.25">
      <c r="A27" s="249" t="s">
        <v>162</v>
      </c>
      <c r="B27" s="250">
        <v>26500</v>
      </c>
      <c r="C27" s="254">
        <f t="shared" si="0"/>
        <v>1545.8333333333333</v>
      </c>
      <c r="D27" s="254">
        <f t="shared" si="1"/>
        <v>1766.6666666666667</v>
      </c>
      <c r="E27" s="252">
        <f>IF(B27*85%/12&gt;=B11,B27*85%/12,B11)</f>
        <v>1877.0833333333333</v>
      </c>
      <c r="F27"/>
      <c r="G27"/>
      <c r="H27"/>
      <c r="I27" s="135"/>
    </row>
    <row r="28" spans="1:9" s="59" customFormat="1" x14ac:dyDescent="0.25">
      <c r="A28" s="68"/>
      <c r="B28" s="52"/>
      <c r="C28" s="69"/>
      <c r="D28" s="69"/>
      <c r="E28" s="70"/>
      <c r="I28" s="135"/>
    </row>
    <row r="29" spans="1:9" x14ac:dyDescent="0.25">
      <c r="A29" s="68"/>
      <c r="B29" s="52"/>
      <c r="C29" s="69"/>
      <c r="D29" s="69"/>
      <c r="E29" s="70"/>
      <c r="F29" s="59"/>
      <c r="G29" s="59"/>
      <c r="H29" s="59"/>
    </row>
    <row r="30" spans="1:9" x14ac:dyDescent="0.25">
      <c r="A30" s="59"/>
      <c r="B30" s="59"/>
      <c r="C30" s="59"/>
      <c r="D30" s="59"/>
      <c r="E30" s="59"/>
      <c r="F30" s="59"/>
      <c r="G30" s="59"/>
      <c r="H30" s="59"/>
    </row>
    <row r="31" spans="1:9" x14ac:dyDescent="0.25">
      <c r="A31" s="42" t="s">
        <v>24</v>
      </c>
      <c r="B31" s="43"/>
      <c r="C31" s="43"/>
      <c r="D31" s="43"/>
      <c r="E31" s="44"/>
    </row>
    <row r="32" spans="1:9" x14ac:dyDescent="0.25">
      <c r="A32" s="98" t="s">
        <v>187</v>
      </c>
      <c r="B32" s="45"/>
      <c r="C32" s="45"/>
      <c r="D32" s="45"/>
      <c r="E32" s="46"/>
    </row>
    <row r="33" spans="1:9" x14ac:dyDescent="0.25">
      <c r="A33" s="58" t="s">
        <v>93</v>
      </c>
      <c r="B33" s="45"/>
      <c r="C33" s="45"/>
      <c r="D33" s="45"/>
      <c r="E33" s="46"/>
    </row>
    <row r="34" spans="1:9" x14ac:dyDescent="0.25">
      <c r="A34" s="58" t="s">
        <v>94</v>
      </c>
      <c r="B34" s="45"/>
      <c r="C34" s="45"/>
      <c r="D34" s="45"/>
      <c r="E34" s="46"/>
    </row>
    <row r="35" spans="1:9" x14ac:dyDescent="0.25">
      <c r="A35" s="132" t="s">
        <v>189</v>
      </c>
      <c r="B35" s="45"/>
      <c r="C35" s="45"/>
      <c r="D35" s="45"/>
      <c r="E35" s="46"/>
    </row>
    <row r="36" spans="1:9" x14ac:dyDescent="0.25">
      <c r="A36" s="98" t="s">
        <v>188</v>
      </c>
      <c r="B36" s="45"/>
      <c r="C36" s="45"/>
      <c r="D36" s="45"/>
      <c r="E36" s="46"/>
    </row>
    <row r="37" spans="1:9" x14ac:dyDescent="0.25">
      <c r="A37" s="58"/>
      <c r="B37" s="45"/>
      <c r="C37" s="45"/>
      <c r="D37" s="45"/>
      <c r="E37" s="46"/>
    </row>
    <row r="38" spans="1:9" x14ac:dyDescent="0.25">
      <c r="A38" s="81" t="s">
        <v>29</v>
      </c>
      <c r="B38" s="45"/>
      <c r="C38" s="45"/>
      <c r="D38" s="45"/>
      <c r="E38" s="46"/>
    </row>
    <row r="39" spans="1:9" x14ac:dyDescent="0.25">
      <c r="A39" s="82" t="s">
        <v>105</v>
      </c>
      <c r="B39" s="48"/>
      <c r="C39" s="48"/>
      <c r="D39" s="48"/>
      <c r="E39" s="49"/>
    </row>
    <row r="42" spans="1:9" ht="14.4" x14ac:dyDescent="0.3">
      <c r="D42" s="149" t="s">
        <v>264</v>
      </c>
      <c r="E42" s="29" t="s">
        <v>332</v>
      </c>
    </row>
    <row r="43" spans="1:9" x14ac:dyDescent="0.25">
      <c r="I43"/>
    </row>
  </sheetData>
  <sheetProtection algorithmName="SHA-512" hashValue="ftPAl5lilch/bN8IR3QJcwu8ErcWW9qZXHFMbzgBBDdlVPQ9/2Wzk5i44kV2p91P9aINjq/3mNif3egJ0QjDAw==" saltValue="nUHinn07OpWfE5HI2quA+A==" spinCount="100000" sheet="1" objects="1" scenarios="1"/>
  <mergeCells count="8">
    <mergeCell ref="C1:E1"/>
    <mergeCell ref="A2:E2"/>
    <mergeCell ref="A3:E3"/>
    <mergeCell ref="A4:E4"/>
    <mergeCell ref="A14:A16"/>
    <mergeCell ref="B14:B16"/>
    <mergeCell ref="C14:E14"/>
    <mergeCell ref="C15:D15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colBreaks count="1" manualBreakCount="1">
    <brk id="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7"/>
  <sheetViews>
    <sheetView showGridLines="0" topLeftCell="A10" zoomScale="80" zoomScaleNormal="80" workbookViewId="0">
      <selection activeCell="J37" sqref="J37"/>
    </sheetView>
  </sheetViews>
  <sheetFormatPr baseColWidth="10" defaultRowHeight="13.2" x14ac:dyDescent="0.25"/>
  <cols>
    <col min="1" max="1" width="5.44140625" customWidth="1"/>
    <col min="2" max="2" width="29.109375" customWidth="1"/>
    <col min="3" max="3" width="11.5546875" customWidth="1"/>
    <col min="4" max="4" width="16.33203125" customWidth="1"/>
    <col min="5" max="5" width="5.6640625" customWidth="1"/>
    <col min="6" max="6" width="16" customWidth="1"/>
    <col min="7" max="7" width="6.44140625" customWidth="1"/>
    <col min="8" max="8" width="13.88671875" customWidth="1"/>
    <col min="9" max="9" width="8.33203125" bestFit="1" customWidth="1"/>
    <col min="10" max="10" width="14" customWidth="1"/>
  </cols>
  <sheetData>
    <row r="1" spans="1:10" ht="14.4" x14ac:dyDescent="0.25">
      <c r="A1" s="152" t="s">
        <v>255</v>
      </c>
      <c r="B1" s="154"/>
      <c r="C1" s="154"/>
      <c r="D1" s="154"/>
      <c r="E1" s="154"/>
      <c r="H1" s="319" t="s">
        <v>256</v>
      </c>
      <c r="I1" s="319"/>
      <c r="J1" s="319"/>
    </row>
    <row r="2" spans="1:10" ht="33.6" x14ac:dyDescent="0.3">
      <c r="A2" s="342" t="s">
        <v>226</v>
      </c>
      <c r="B2" s="342"/>
      <c r="C2" s="342"/>
      <c r="D2" s="342"/>
      <c r="E2" s="342"/>
      <c r="F2" s="342"/>
      <c r="G2" s="342"/>
      <c r="H2" s="342"/>
      <c r="I2" s="170"/>
      <c r="J2" s="170"/>
    </row>
    <row r="3" spans="1:10" ht="17.399999999999999" x14ac:dyDescent="0.3">
      <c r="A3" s="358" t="s">
        <v>182</v>
      </c>
      <c r="B3" s="358"/>
      <c r="C3" s="358"/>
      <c r="D3" s="358"/>
      <c r="E3" s="358"/>
      <c r="F3" s="358"/>
      <c r="G3" s="358"/>
      <c r="H3" s="358"/>
    </row>
    <row r="4" spans="1:10" ht="17.399999999999999" x14ac:dyDescent="0.3">
      <c r="A4" s="358" t="s">
        <v>104</v>
      </c>
      <c r="B4" s="358"/>
      <c r="C4" s="358"/>
      <c r="D4" s="358"/>
      <c r="E4" s="358"/>
      <c r="F4" s="358"/>
      <c r="G4" s="358"/>
      <c r="H4" s="358"/>
      <c r="I4" s="114"/>
    </row>
    <row r="6" spans="1:10" ht="13.8" x14ac:dyDescent="0.25">
      <c r="B6" s="62" t="s">
        <v>114</v>
      </c>
      <c r="C6" s="62"/>
      <c r="D6" s="62"/>
      <c r="E6" s="114" t="s">
        <v>114</v>
      </c>
      <c r="F6" s="114"/>
      <c r="G6" s="114"/>
      <c r="H6" s="114"/>
      <c r="I6" s="18"/>
    </row>
    <row r="7" spans="1:10" ht="13.8" x14ac:dyDescent="0.25">
      <c r="I7" s="114"/>
    </row>
    <row r="8" spans="1:10" ht="13.8" x14ac:dyDescent="0.25">
      <c r="B8" s="62" t="s">
        <v>18</v>
      </c>
      <c r="C8" s="385">
        <v>44197</v>
      </c>
      <c r="D8" s="385"/>
      <c r="E8" s="187"/>
      <c r="G8" s="113"/>
      <c r="H8" s="113"/>
      <c r="I8" s="114"/>
    </row>
    <row r="9" spans="1:10" ht="13.8" x14ac:dyDescent="0.25">
      <c r="B9" s="62" t="s">
        <v>17</v>
      </c>
      <c r="C9" s="188" t="s">
        <v>25</v>
      </c>
      <c r="D9" s="189"/>
      <c r="E9" s="187"/>
      <c r="G9" s="114"/>
      <c r="H9" s="114"/>
      <c r="I9" s="114"/>
    </row>
    <row r="10" spans="1:10" ht="13.8" x14ac:dyDescent="0.25">
      <c r="B10" s="62" t="s">
        <v>22</v>
      </c>
      <c r="C10" s="188" t="s">
        <v>127</v>
      </c>
      <c r="D10" s="189"/>
      <c r="E10" s="187"/>
      <c r="G10" s="114"/>
      <c r="H10" s="114"/>
      <c r="I10" s="114"/>
    </row>
    <row r="11" spans="1:10" ht="13.8" x14ac:dyDescent="0.25">
      <c r="B11" s="62"/>
      <c r="C11" s="190" t="s">
        <v>128</v>
      </c>
      <c r="D11" s="189"/>
      <c r="E11" s="187"/>
      <c r="G11" s="114"/>
      <c r="H11" s="114"/>
      <c r="I11" s="114"/>
    </row>
    <row r="12" spans="1:10" ht="13.8" x14ac:dyDescent="0.25">
      <c r="B12" s="62"/>
      <c r="C12" s="188"/>
      <c r="D12" s="189"/>
      <c r="E12" s="187"/>
      <c r="G12" s="114"/>
      <c r="H12" s="114"/>
      <c r="I12" s="35"/>
      <c r="J12" s="35"/>
    </row>
    <row r="13" spans="1:10" ht="12.6" customHeight="1" x14ac:dyDescent="0.25">
      <c r="B13" s="112" t="s">
        <v>190</v>
      </c>
      <c r="C13" s="188"/>
      <c r="D13" s="165">
        <v>1589.47</v>
      </c>
      <c r="E13" s="187"/>
      <c r="G13" s="114"/>
      <c r="H13" s="114"/>
    </row>
    <row r="14" spans="1:10" s="22" customFormat="1" ht="23.1" customHeight="1" x14ac:dyDescent="0.25">
      <c r="A14"/>
      <c r="B14" s="34"/>
      <c r="C14" s="188"/>
      <c r="D14" s="188"/>
      <c r="E14" s="188"/>
      <c r="F14" s="34"/>
      <c r="G14" s="35"/>
      <c r="H14" s="35"/>
    </row>
    <row r="15" spans="1:10" x14ac:dyDescent="0.25">
      <c r="B15" s="223"/>
      <c r="C15" s="223"/>
      <c r="D15" s="223"/>
      <c r="E15" s="223"/>
      <c r="F15" s="223"/>
      <c r="G15" s="223"/>
      <c r="H15" s="223"/>
      <c r="I15" s="224"/>
      <c r="J15" s="220"/>
    </row>
    <row r="16" spans="1:10" ht="15.6" x14ac:dyDescent="0.25">
      <c r="A16" s="436" t="s">
        <v>117</v>
      </c>
      <c r="B16" s="117" t="s">
        <v>106</v>
      </c>
      <c r="C16" s="117" t="s">
        <v>115</v>
      </c>
      <c r="D16" s="118" t="s">
        <v>123</v>
      </c>
      <c r="E16" s="445" t="s">
        <v>107</v>
      </c>
      <c r="F16" s="446"/>
      <c r="G16" s="445" t="s">
        <v>108</v>
      </c>
      <c r="H16" s="447"/>
      <c r="I16" s="444" t="s">
        <v>109</v>
      </c>
      <c r="J16" s="444"/>
    </row>
    <row r="17" spans="1:10" ht="33" customHeight="1" x14ac:dyDescent="0.25">
      <c r="A17" s="437"/>
      <c r="B17" s="439" t="s">
        <v>124</v>
      </c>
      <c r="C17" s="64" t="s">
        <v>119</v>
      </c>
      <c r="D17" s="255">
        <v>2150.6999999999998</v>
      </c>
      <c r="E17" s="442">
        <v>0.7</v>
      </c>
      <c r="F17" s="256">
        <f>D17*70%</f>
        <v>1505.4899999999998</v>
      </c>
      <c r="G17" s="448">
        <v>0.7</v>
      </c>
      <c r="H17" s="256">
        <f>D17*70%</f>
        <v>1505.4899999999998</v>
      </c>
      <c r="I17" s="451">
        <v>0.85</v>
      </c>
      <c r="J17" s="258">
        <f>D17*85%</f>
        <v>1828.0949999999998</v>
      </c>
    </row>
    <row r="18" spans="1:10" ht="54.75" customHeight="1" x14ac:dyDescent="0.25">
      <c r="A18" s="437"/>
      <c r="B18" s="440"/>
      <c r="C18" s="64" t="s">
        <v>120</v>
      </c>
      <c r="D18" s="255">
        <v>2046.18</v>
      </c>
      <c r="E18" s="443"/>
      <c r="F18" s="256">
        <f>D18*70%</f>
        <v>1432.326</v>
      </c>
      <c r="G18" s="449"/>
      <c r="H18" s="256">
        <f>D18*70%</f>
        <v>1432.326</v>
      </c>
      <c r="I18" s="452"/>
      <c r="J18" s="256">
        <f>D18*85%</f>
        <v>1739.2529999999999</v>
      </c>
    </row>
    <row r="19" spans="1:10" ht="33" customHeight="1" x14ac:dyDescent="0.25">
      <c r="A19" s="437"/>
      <c r="B19" s="441" t="s">
        <v>110</v>
      </c>
      <c r="C19" s="64" t="s">
        <v>121</v>
      </c>
      <c r="D19" s="255">
        <v>2376.83</v>
      </c>
      <c r="E19" s="442">
        <v>0.7</v>
      </c>
      <c r="F19" s="256">
        <f>D19*70%</f>
        <v>1663.7809999999999</v>
      </c>
      <c r="G19" s="448">
        <v>0.7</v>
      </c>
      <c r="H19" s="256">
        <f>D19*70%</f>
        <v>1663.7809999999999</v>
      </c>
      <c r="I19" s="425">
        <v>0.85</v>
      </c>
      <c r="J19" s="256">
        <f>D19*85%</f>
        <v>2020.3054999999999</v>
      </c>
    </row>
    <row r="20" spans="1:10" ht="33" customHeight="1" x14ac:dyDescent="0.25">
      <c r="A20" s="437"/>
      <c r="B20" s="440"/>
      <c r="C20" s="64" t="s">
        <v>122</v>
      </c>
      <c r="D20" s="255">
        <v>2263.2600000000002</v>
      </c>
      <c r="E20" s="453"/>
      <c r="F20" s="257">
        <f>D20*70%</f>
        <v>1584.2820000000002</v>
      </c>
      <c r="G20" s="450"/>
      <c r="H20" s="257">
        <f>D20*70%</f>
        <v>1584.2820000000002</v>
      </c>
      <c r="I20" s="426"/>
      <c r="J20" s="257">
        <f>D20*85%</f>
        <v>1923.7710000000002</v>
      </c>
    </row>
    <row r="21" spans="1:10" ht="33" customHeight="1" x14ac:dyDescent="0.25">
      <c r="A21" s="437"/>
      <c r="B21" s="63" t="s">
        <v>111</v>
      </c>
      <c r="C21" s="434" t="s">
        <v>116</v>
      </c>
      <c r="D21" s="435"/>
      <c r="E21" s="423" t="s">
        <v>125</v>
      </c>
      <c r="F21" s="424"/>
      <c r="G21" s="174"/>
      <c r="H21" s="174"/>
      <c r="I21" s="174"/>
      <c r="J21" s="174"/>
    </row>
    <row r="22" spans="1:10" ht="33" customHeight="1" x14ac:dyDescent="0.25">
      <c r="A22" s="438"/>
      <c r="B22" s="65" t="s">
        <v>112</v>
      </c>
      <c r="C22" s="427" t="s">
        <v>116</v>
      </c>
      <c r="D22" s="428"/>
      <c r="E22" s="423" t="s">
        <v>125</v>
      </c>
      <c r="F22" s="424"/>
      <c r="G22" s="175"/>
      <c r="H22" s="175"/>
      <c r="I22" s="175"/>
      <c r="J22" s="175"/>
    </row>
    <row r="23" spans="1:10" ht="44.1" customHeight="1" x14ac:dyDescent="0.25">
      <c r="A23" s="220"/>
      <c r="B23" s="225"/>
      <c r="C23" s="225"/>
      <c r="D23" s="225"/>
      <c r="E23" s="225"/>
      <c r="F23" s="225"/>
      <c r="G23" s="225"/>
      <c r="H23" s="225"/>
      <c r="I23" s="225"/>
      <c r="J23" s="225"/>
    </row>
    <row r="24" spans="1:10" s="22" customFormat="1" ht="41.1" customHeight="1" x14ac:dyDescent="0.25">
      <c r="A24" s="429" t="s">
        <v>118</v>
      </c>
      <c r="B24" s="417" t="s">
        <v>95</v>
      </c>
      <c r="C24" s="418"/>
      <c r="D24" s="227" t="s">
        <v>100</v>
      </c>
      <c r="E24" s="404" t="s">
        <v>107</v>
      </c>
      <c r="F24" s="405"/>
      <c r="G24" s="404" t="s">
        <v>108</v>
      </c>
      <c r="H24" s="405"/>
      <c r="I24" s="415" t="s">
        <v>109</v>
      </c>
      <c r="J24" s="416"/>
    </row>
    <row r="25" spans="1:10" ht="35.1" customHeight="1" x14ac:dyDescent="0.25">
      <c r="A25" s="430"/>
      <c r="B25" s="419" t="s">
        <v>146</v>
      </c>
      <c r="C25" s="420"/>
      <c r="D25" s="431">
        <f>D13</f>
        <v>1589.47</v>
      </c>
      <c r="E25" s="66">
        <v>0.9</v>
      </c>
      <c r="F25" s="192">
        <f>D25*90%</f>
        <v>1430.5230000000001</v>
      </c>
      <c r="G25" s="66">
        <v>0.9</v>
      </c>
      <c r="H25" s="192">
        <f>D25*90%</f>
        <v>1430.5230000000001</v>
      </c>
      <c r="I25" s="409">
        <f>D25</f>
        <v>1589.47</v>
      </c>
      <c r="J25" s="410"/>
    </row>
    <row r="26" spans="1:10" ht="38.25" customHeight="1" x14ac:dyDescent="0.25">
      <c r="A26" s="430"/>
      <c r="B26" s="419" t="s">
        <v>126</v>
      </c>
      <c r="C26" s="420"/>
      <c r="D26" s="432"/>
      <c r="E26" s="66">
        <v>0.65</v>
      </c>
      <c r="F26" s="192">
        <f>D25*65%</f>
        <v>1033.1555000000001</v>
      </c>
      <c r="G26" s="66">
        <v>0.8</v>
      </c>
      <c r="H26" s="192">
        <f>D25*80%</f>
        <v>1271.576</v>
      </c>
      <c r="I26" s="411"/>
      <c r="J26" s="412"/>
    </row>
    <row r="27" spans="1:10" ht="13.8" x14ac:dyDescent="0.25">
      <c r="A27" s="430"/>
      <c r="B27" s="421" t="s">
        <v>113</v>
      </c>
      <c r="C27" s="422"/>
      <c r="D27" s="433"/>
      <c r="E27" s="226">
        <v>0.55000000000000004</v>
      </c>
      <c r="F27" s="192">
        <f>D25*55%</f>
        <v>874.20850000000007</v>
      </c>
      <c r="G27" s="226">
        <v>0.7</v>
      </c>
      <c r="H27" s="192">
        <f>D25*70%</f>
        <v>1112.6289999999999</v>
      </c>
      <c r="I27" s="413"/>
      <c r="J27" s="414"/>
    </row>
    <row r="29" spans="1:10" ht="36.6" customHeight="1" x14ac:dyDescent="0.25"/>
    <row r="30" spans="1:10" x14ac:dyDescent="0.25">
      <c r="A30" s="83" t="s">
        <v>29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0" ht="49.5" customHeight="1" x14ac:dyDescent="0.25">
      <c r="A31" s="406" t="s">
        <v>238</v>
      </c>
      <c r="B31" s="407"/>
      <c r="C31" s="407"/>
      <c r="D31" s="407"/>
      <c r="E31" s="407"/>
      <c r="F31" s="407"/>
      <c r="G31" s="407"/>
      <c r="H31" s="407"/>
      <c r="I31" s="407"/>
      <c r="J31" s="408"/>
    </row>
    <row r="37" spans="9:10" ht="14.4" x14ac:dyDescent="0.3">
      <c r="I37" s="149" t="s">
        <v>263</v>
      </c>
      <c r="J37" s="29" t="s">
        <v>332</v>
      </c>
    </row>
  </sheetData>
  <sheetProtection algorithmName="SHA-512" hashValue="3haO7SHBaqdduIsJ9pdh/taB9wcFQpbVPdhD5CjWdBu+yT9Msaf4+5aJZWu/JQJ85TlNWcWM8xFQEsxSpxWhSQ==" saltValue="Phniljpr2FT/OPOOA+P4Lg==" spinCount="100000" sheet="1" objects="1" scenarios="1"/>
  <mergeCells count="32">
    <mergeCell ref="I16:J16"/>
    <mergeCell ref="E16:F16"/>
    <mergeCell ref="G16:H16"/>
    <mergeCell ref="G17:G18"/>
    <mergeCell ref="G19:G20"/>
    <mergeCell ref="I17:I18"/>
    <mergeCell ref="E19:E20"/>
    <mergeCell ref="C8:D8"/>
    <mergeCell ref="A24:A27"/>
    <mergeCell ref="D25:D27"/>
    <mergeCell ref="C21:D21"/>
    <mergeCell ref="E24:F24"/>
    <mergeCell ref="A16:A22"/>
    <mergeCell ref="B17:B18"/>
    <mergeCell ref="B19:B20"/>
    <mergeCell ref="E17:E18"/>
    <mergeCell ref="G24:H24"/>
    <mergeCell ref="A31:J31"/>
    <mergeCell ref="A3:H3"/>
    <mergeCell ref="A4:H4"/>
    <mergeCell ref="H1:J1"/>
    <mergeCell ref="I25:J27"/>
    <mergeCell ref="I24:J24"/>
    <mergeCell ref="B24:C24"/>
    <mergeCell ref="B25:C25"/>
    <mergeCell ref="B26:C26"/>
    <mergeCell ref="B27:C27"/>
    <mergeCell ref="A2:H2"/>
    <mergeCell ref="E21:F21"/>
    <mergeCell ref="E22:F22"/>
    <mergeCell ref="I19:I20"/>
    <mergeCell ref="C22:D22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9"/>
  <sheetViews>
    <sheetView showGridLines="0" zoomScale="80" zoomScaleNormal="80" workbookViewId="0">
      <selection activeCell="I44" sqref="I44"/>
    </sheetView>
  </sheetViews>
  <sheetFormatPr baseColWidth="10" defaultRowHeight="13.2" x14ac:dyDescent="0.25"/>
  <cols>
    <col min="1" max="1" width="12.109375" customWidth="1"/>
    <col min="2" max="2" width="22" customWidth="1"/>
    <col min="3" max="3" width="21.6640625" customWidth="1"/>
    <col min="4" max="4" width="25.109375" customWidth="1"/>
    <col min="6" max="6" width="13.5546875" bestFit="1" customWidth="1"/>
  </cols>
  <sheetData>
    <row r="1" spans="1:8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8" ht="33.6" x14ac:dyDescent="0.25">
      <c r="A2" s="342" t="s">
        <v>227</v>
      </c>
      <c r="B2" s="342"/>
      <c r="C2" s="342"/>
      <c r="D2" s="342"/>
      <c r="E2" s="342"/>
      <c r="F2" s="342"/>
      <c r="G2" s="342"/>
      <c r="H2" s="342"/>
    </row>
    <row r="3" spans="1:8" ht="17.399999999999999" x14ac:dyDescent="0.3">
      <c r="A3" s="358" t="s">
        <v>182</v>
      </c>
      <c r="B3" s="358"/>
      <c r="C3" s="358"/>
      <c r="D3" s="358"/>
      <c r="E3" s="358"/>
      <c r="F3" s="358"/>
      <c r="G3" s="358"/>
      <c r="H3" s="358"/>
    </row>
    <row r="4" spans="1:8" ht="17.399999999999999" x14ac:dyDescent="0.3">
      <c r="A4" s="358" t="s">
        <v>104</v>
      </c>
      <c r="B4" s="358"/>
      <c r="C4" s="358"/>
      <c r="D4" s="358"/>
      <c r="E4" s="358"/>
      <c r="F4" s="358"/>
      <c r="G4" s="358"/>
      <c r="H4" s="358"/>
    </row>
    <row r="7" spans="1:8" ht="13.8" x14ac:dyDescent="0.25">
      <c r="A7" s="339" t="s">
        <v>18</v>
      </c>
      <c r="B7" s="339"/>
      <c r="C7" s="385">
        <v>44470</v>
      </c>
      <c r="D7" s="385"/>
    </row>
    <row r="8" spans="1:8" ht="13.8" x14ac:dyDescent="0.25">
      <c r="A8" s="339" t="s">
        <v>17</v>
      </c>
      <c r="B8" s="339"/>
      <c r="C8" s="392" t="s">
        <v>25</v>
      </c>
      <c r="D8" s="392"/>
    </row>
    <row r="9" spans="1:8" ht="13.8" x14ac:dyDescent="0.25">
      <c r="A9" s="339" t="s">
        <v>22</v>
      </c>
      <c r="B9" s="339"/>
      <c r="C9" s="188" t="s">
        <v>239</v>
      </c>
      <c r="D9" s="188"/>
    </row>
    <row r="10" spans="1:8" ht="13.8" x14ac:dyDescent="0.25">
      <c r="A10" s="144"/>
      <c r="B10" s="144"/>
      <c r="C10" s="188"/>
      <c r="D10" s="188"/>
    </row>
    <row r="11" spans="1:8" ht="13.8" x14ac:dyDescent="0.25">
      <c r="A11" s="144" t="s">
        <v>190</v>
      </c>
      <c r="B11" s="144"/>
      <c r="C11" s="165">
        <v>1589.47</v>
      </c>
      <c r="D11" s="188"/>
    </row>
    <row r="12" spans="1:8" ht="35.1" customHeight="1" thickBot="1" x14ac:dyDescent="0.3">
      <c r="A12" s="144"/>
      <c r="B12" s="144"/>
      <c r="C12" s="145"/>
      <c r="D12" s="145"/>
    </row>
    <row r="13" spans="1:8" ht="69.75" customHeight="1" thickBot="1" x14ac:dyDescent="0.3">
      <c r="A13" s="228" t="s">
        <v>148</v>
      </c>
      <c r="B13" s="461" t="s">
        <v>76</v>
      </c>
      <c r="C13" s="461"/>
      <c r="D13" s="461" t="s">
        <v>77</v>
      </c>
      <c r="E13" s="461"/>
      <c r="F13" s="461" t="s">
        <v>78</v>
      </c>
      <c r="G13" s="461"/>
      <c r="H13" s="462"/>
    </row>
    <row r="14" spans="1:8" ht="33.6" customHeight="1" x14ac:dyDescent="0.25">
      <c r="A14" s="478" t="s">
        <v>79</v>
      </c>
      <c r="B14" s="463" t="s">
        <v>80</v>
      </c>
      <c r="C14" s="463"/>
      <c r="D14" s="463" t="s">
        <v>81</v>
      </c>
      <c r="E14" s="463"/>
      <c r="F14" s="463" t="s">
        <v>82</v>
      </c>
      <c r="G14" s="463"/>
      <c r="H14" s="464"/>
    </row>
    <row r="15" spans="1:8" ht="29.4" customHeight="1" x14ac:dyDescent="0.25">
      <c r="A15" s="479"/>
      <c r="B15" s="465">
        <f>C11*55%</f>
        <v>874.20850000000007</v>
      </c>
      <c r="C15" s="465"/>
      <c r="D15" s="465">
        <f>C11*65%</f>
        <v>1033.1555000000001</v>
      </c>
      <c r="E15" s="465"/>
      <c r="F15" s="465">
        <f>C11*80%</f>
        <v>1271.576</v>
      </c>
      <c r="G15" s="465"/>
      <c r="H15" s="466"/>
    </row>
    <row r="16" spans="1:8" ht="34.5" customHeight="1" x14ac:dyDescent="0.25">
      <c r="A16" s="479"/>
      <c r="B16" s="467" t="s">
        <v>88</v>
      </c>
      <c r="C16" s="467"/>
      <c r="D16" s="467" t="s">
        <v>89</v>
      </c>
      <c r="E16" s="467"/>
      <c r="F16" s="467" t="s">
        <v>90</v>
      </c>
      <c r="G16" s="467"/>
      <c r="H16" s="468"/>
    </row>
    <row r="17" spans="1:23" ht="24.9" customHeight="1" thickBot="1" x14ac:dyDescent="0.3">
      <c r="A17" s="481"/>
      <c r="B17" s="469">
        <f>C11*65%</f>
        <v>1033.1555000000001</v>
      </c>
      <c r="C17" s="469"/>
      <c r="D17" s="469">
        <f>C11*70%</f>
        <v>1112.6289999999999</v>
      </c>
      <c r="E17" s="469"/>
      <c r="F17" s="469">
        <f>C11*85%</f>
        <v>1351.0495000000001</v>
      </c>
      <c r="G17" s="469"/>
      <c r="H17" s="470"/>
    </row>
    <row r="18" spans="1:23" ht="35.1" customHeight="1" x14ac:dyDescent="0.25">
      <c r="A18" s="478" t="s">
        <v>83</v>
      </c>
      <c r="B18" s="463" t="s">
        <v>84</v>
      </c>
      <c r="C18" s="463"/>
      <c r="D18" s="463" t="s">
        <v>82</v>
      </c>
      <c r="E18" s="463"/>
      <c r="F18" s="463" t="s">
        <v>85</v>
      </c>
      <c r="G18" s="463"/>
      <c r="H18" s="464"/>
    </row>
    <row r="19" spans="1:23" ht="23.4" customHeight="1" x14ac:dyDescent="0.25">
      <c r="A19" s="479"/>
      <c r="B19" s="465">
        <f>C11*70%</f>
        <v>1112.6289999999999</v>
      </c>
      <c r="C19" s="465"/>
      <c r="D19" s="465">
        <f>C11*80%</f>
        <v>1271.576</v>
      </c>
      <c r="E19" s="465"/>
      <c r="F19" s="465">
        <f>C11*85%</f>
        <v>1351.0495000000001</v>
      </c>
      <c r="G19" s="465"/>
      <c r="H19" s="466"/>
    </row>
    <row r="20" spans="1:23" ht="42.9" customHeight="1" x14ac:dyDescent="0.25">
      <c r="A20" s="479"/>
      <c r="B20" s="467" t="s">
        <v>91</v>
      </c>
      <c r="C20" s="467"/>
      <c r="D20" s="467" t="s">
        <v>90</v>
      </c>
      <c r="E20" s="467"/>
      <c r="F20" s="467" t="s">
        <v>92</v>
      </c>
      <c r="G20" s="467"/>
      <c r="H20" s="468"/>
    </row>
    <row r="21" spans="1:23" ht="24.75" customHeight="1" x14ac:dyDescent="0.25">
      <c r="A21" s="480"/>
      <c r="B21" s="471">
        <f>C11*80%</f>
        <v>1271.576</v>
      </c>
      <c r="C21" s="471"/>
      <c r="D21" s="471">
        <f>C11*85%</f>
        <v>1351.0495000000001</v>
      </c>
      <c r="E21" s="471"/>
      <c r="F21" s="471">
        <f>C11*90%</f>
        <v>1430.5230000000001</v>
      </c>
      <c r="G21" s="471"/>
      <c r="H21" s="472"/>
    </row>
    <row r="22" spans="1:23" ht="22.5" customHeight="1" x14ac:dyDescent="0.25">
      <c r="A22" s="485" t="s">
        <v>86</v>
      </c>
      <c r="B22" s="473" t="s">
        <v>87</v>
      </c>
      <c r="C22" s="474"/>
      <c r="D22" s="474"/>
      <c r="E22" s="474"/>
      <c r="F22" s="474"/>
      <c r="G22" s="474"/>
      <c r="H22" s="475"/>
    </row>
    <row r="23" spans="1:23" ht="19.2" customHeight="1" x14ac:dyDescent="0.25">
      <c r="A23" s="486"/>
      <c r="B23" s="476">
        <f>C11</f>
        <v>1589.47</v>
      </c>
      <c r="C23" s="476"/>
      <c r="D23" s="476"/>
      <c r="E23" s="476"/>
      <c r="F23" s="476"/>
      <c r="G23" s="476"/>
      <c r="H23" s="477"/>
    </row>
    <row r="24" spans="1:23" ht="48" customHeight="1" thickBot="1" x14ac:dyDescent="0.3">
      <c r="A24" s="487"/>
      <c r="B24" s="482" t="s">
        <v>343</v>
      </c>
      <c r="C24" s="483"/>
      <c r="D24" s="483"/>
      <c r="E24" s="483"/>
      <c r="F24" s="483"/>
      <c r="G24" s="483"/>
      <c r="H24" s="484"/>
    </row>
    <row r="25" spans="1:23" x14ac:dyDescent="0.25">
      <c r="B25" s="315"/>
      <c r="C25" s="296"/>
      <c r="D25" s="296"/>
      <c r="E25" s="296"/>
      <c r="F25" s="296"/>
      <c r="G25" s="296"/>
      <c r="H25" s="296"/>
    </row>
    <row r="26" spans="1:23" x14ac:dyDescent="0.25">
      <c r="B26" s="315"/>
      <c r="C26" s="296"/>
      <c r="D26" s="296"/>
      <c r="E26" s="296"/>
      <c r="F26" s="296"/>
      <c r="G26" s="296"/>
      <c r="H26" s="296"/>
    </row>
    <row r="28" spans="1:23" ht="15.6" x14ac:dyDescent="0.3">
      <c r="A28" s="458" t="s">
        <v>333</v>
      </c>
      <c r="B28" s="458"/>
      <c r="C28" s="458"/>
      <c r="D28" s="458"/>
      <c r="E28" s="458"/>
      <c r="F28" s="458"/>
      <c r="G28" s="458"/>
      <c r="H28" s="458"/>
      <c r="U28" s="297"/>
      <c r="V28" s="297"/>
      <c r="W28" s="297"/>
    </row>
    <row r="29" spans="1:23" ht="14.4" x14ac:dyDescent="0.3">
      <c r="A29" s="297"/>
      <c r="B29" s="297"/>
      <c r="C29" s="297"/>
      <c r="D29" s="297"/>
      <c r="E29" s="297"/>
      <c r="F29" s="298"/>
      <c r="G29" s="298"/>
      <c r="H29" s="297"/>
      <c r="I29" s="297"/>
      <c r="J29" s="297"/>
      <c r="U29" s="297"/>
      <c r="V29" s="297"/>
      <c r="W29" s="297"/>
    </row>
    <row r="30" spans="1:23" ht="14.4" x14ac:dyDescent="0.3">
      <c r="A30" s="297"/>
      <c r="B30" s="297"/>
      <c r="C30" s="297"/>
      <c r="D30" s="297"/>
      <c r="E30" s="297"/>
      <c r="U30" s="297"/>
      <c r="V30" s="297"/>
      <c r="W30" s="297"/>
    </row>
    <row r="31" spans="1:23" ht="40.200000000000003" thickBot="1" x14ac:dyDescent="0.35">
      <c r="A31" s="299" t="s">
        <v>334</v>
      </c>
      <c r="B31" s="300" t="s">
        <v>335</v>
      </c>
      <c r="C31" s="301" t="s">
        <v>336</v>
      </c>
      <c r="D31" s="301" t="s">
        <v>337</v>
      </c>
      <c r="E31" s="298"/>
      <c r="F31" s="505" t="s">
        <v>344</v>
      </c>
      <c r="G31" s="297"/>
      <c r="H31" s="297"/>
      <c r="I31" s="297"/>
      <c r="Q31" s="297"/>
      <c r="R31" s="297"/>
      <c r="S31" s="297"/>
    </row>
    <row r="32" spans="1:23" ht="14.4" x14ac:dyDescent="0.25">
      <c r="A32" s="454" t="s">
        <v>338</v>
      </c>
      <c r="B32" s="302">
        <v>170</v>
      </c>
      <c r="C32" s="303">
        <v>19073.64</v>
      </c>
      <c r="D32" s="304"/>
      <c r="E32" s="298"/>
      <c r="F32" s="507">
        <f>85%*(C32/12)</f>
        <v>1351.0495000000001</v>
      </c>
      <c r="G32" s="506" t="s">
        <v>345</v>
      </c>
      <c r="H32" s="506"/>
      <c r="I32" s="506"/>
    </row>
    <row r="33" spans="1:19" ht="14.4" x14ac:dyDescent="0.25">
      <c r="A33" s="455"/>
      <c r="B33" s="305"/>
      <c r="C33" s="306"/>
      <c r="D33" s="307"/>
      <c r="E33" s="298"/>
      <c r="F33" s="508"/>
      <c r="G33" s="298"/>
      <c r="H33" s="298"/>
      <c r="I33" s="298"/>
    </row>
    <row r="34" spans="1:19" ht="14.4" x14ac:dyDescent="0.25">
      <c r="A34" s="455"/>
      <c r="B34" s="308">
        <v>175</v>
      </c>
      <c r="C34" s="309">
        <v>19242.919999999998</v>
      </c>
      <c r="D34" s="307"/>
      <c r="E34" s="298"/>
      <c r="F34" s="508">
        <f t="shared" ref="F33:F47" si="0">85%*(C34/12)</f>
        <v>1363.0401666666667</v>
      </c>
      <c r="G34" s="506" t="s">
        <v>345</v>
      </c>
      <c r="H34" s="506"/>
      <c r="I34" s="506"/>
    </row>
    <row r="35" spans="1:19" ht="14.4" x14ac:dyDescent="0.25">
      <c r="A35" s="455"/>
      <c r="B35" s="308">
        <v>180</v>
      </c>
      <c r="C35" s="309">
        <v>19589.919999999998</v>
      </c>
      <c r="D35" s="307"/>
      <c r="E35" s="298"/>
      <c r="F35" s="508">
        <f t="shared" si="0"/>
        <v>1387.6193333333331</v>
      </c>
      <c r="G35" s="506" t="s">
        <v>345</v>
      </c>
      <c r="H35" s="506"/>
      <c r="I35" s="506"/>
    </row>
    <row r="36" spans="1:19" ht="14.4" x14ac:dyDescent="0.25">
      <c r="A36" s="455"/>
      <c r="B36" s="308">
        <v>190</v>
      </c>
      <c r="C36" s="309">
        <v>20283.919999999998</v>
      </c>
      <c r="D36" s="307"/>
      <c r="E36" s="298"/>
      <c r="F36" s="508">
        <f t="shared" si="0"/>
        <v>1436.7776666666666</v>
      </c>
      <c r="G36" s="506" t="s">
        <v>345</v>
      </c>
      <c r="H36" s="506"/>
      <c r="I36" s="506"/>
    </row>
    <row r="37" spans="1:19" ht="14.4" x14ac:dyDescent="0.25">
      <c r="A37" s="455"/>
      <c r="B37" s="308">
        <v>200</v>
      </c>
      <c r="C37" s="309">
        <v>20977.919999999998</v>
      </c>
      <c r="D37" s="307"/>
      <c r="E37" s="298"/>
      <c r="F37" s="508">
        <f t="shared" si="0"/>
        <v>1485.9359999999999</v>
      </c>
      <c r="G37" s="506" t="s">
        <v>345</v>
      </c>
      <c r="H37" s="506"/>
      <c r="I37" s="506"/>
    </row>
    <row r="38" spans="1:19" ht="15" thickBot="1" x14ac:dyDescent="0.3">
      <c r="A38" s="456"/>
      <c r="B38" s="310">
        <v>210</v>
      </c>
      <c r="C38" s="311">
        <v>21671.919999999998</v>
      </c>
      <c r="D38" s="312"/>
      <c r="E38" s="298"/>
      <c r="F38" s="508">
        <f t="shared" si="0"/>
        <v>1535.094333333333</v>
      </c>
      <c r="G38" s="506" t="s">
        <v>345</v>
      </c>
      <c r="H38" s="506"/>
      <c r="I38" s="506"/>
    </row>
    <row r="39" spans="1:19" ht="14.4" x14ac:dyDescent="0.25">
      <c r="A39" s="457" t="s">
        <v>339</v>
      </c>
      <c r="B39" s="308">
        <v>220</v>
      </c>
      <c r="C39" s="309">
        <v>22365.919999999998</v>
      </c>
      <c r="D39" s="307"/>
      <c r="E39" s="298"/>
      <c r="F39" s="508">
        <f t="shared" si="0"/>
        <v>1584.2526666666665</v>
      </c>
      <c r="G39" s="506" t="s">
        <v>345</v>
      </c>
      <c r="H39" s="506"/>
      <c r="I39" s="506"/>
    </row>
    <row r="40" spans="1:19" ht="15.6" x14ac:dyDescent="0.3">
      <c r="A40" s="455"/>
      <c r="B40" s="308">
        <v>240</v>
      </c>
      <c r="C40" s="309">
        <v>23753.919999999998</v>
      </c>
      <c r="D40" s="307"/>
      <c r="E40" s="298"/>
      <c r="F40" s="509">
        <f t="shared" si="0"/>
        <v>1682.5693333333331</v>
      </c>
      <c r="G40" s="297"/>
      <c r="H40" s="297"/>
      <c r="I40" s="297"/>
      <c r="Q40" s="297"/>
      <c r="R40" s="297"/>
      <c r="S40" s="297"/>
    </row>
    <row r="41" spans="1:19" ht="15.6" x14ac:dyDescent="0.3">
      <c r="A41" s="455"/>
      <c r="B41" s="308">
        <v>260</v>
      </c>
      <c r="C41" s="309">
        <v>25141.919999999998</v>
      </c>
      <c r="D41" s="307"/>
      <c r="E41" s="298"/>
      <c r="F41" s="509">
        <f t="shared" si="0"/>
        <v>1780.8859999999997</v>
      </c>
      <c r="G41" s="297"/>
      <c r="H41" s="297"/>
      <c r="I41" s="297"/>
      <c r="Q41" s="297"/>
      <c r="R41" s="297"/>
      <c r="S41" s="297"/>
    </row>
    <row r="42" spans="1:19" ht="16.2" thickBot="1" x14ac:dyDescent="0.35">
      <c r="A42" s="456"/>
      <c r="B42" s="310">
        <v>280</v>
      </c>
      <c r="C42" s="313">
        <v>26529.919999999998</v>
      </c>
      <c r="D42" s="312"/>
      <c r="E42" s="298"/>
      <c r="F42" s="509">
        <f t="shared" si="0"/>
        <v>1879.2026666666663</v>
      </c>
      <c r="G42" s="297"/>
      <c r="H42" s="297"/>
      <c r="I42" s="297"/>
      <c r="Q42" s="297"/>
      <c r="R42" s="297"/>
      <c r="S42" s="297"/>
    </row>
    <row r="43" spans="1:19" ht="15.6" x14ac:dyDescent="0.3">
      <c r="A43" s="457" t="s">
        <v>340</v>
      </c>
      <c r="B43" s="308">
        <v>330</v>
      </c>
      <c r="C43" s="309">
        <v>29999.919999999998</v>
      </c>
      <c r="D43" s="307">
        <v>36599.9</v>
      </c>
      <c r="E43" s="298"/>
      <c r="F43" s="509">
        <f t="shared" si="0"/>
        <v>2124.9943333333331</v>
      </c>
      <c r="G43" s="297"/>
      <c r="H43" s="297"/>
      <c r="I43" s="297"/>
      <c r="Q43" s="297"/>
      <c r="R43" s="297"/>
      <c r="S43" s="297"/>
    </row>
    <row r="44" spans="1:19" ht="16.2" thickBot="1" x14ac:dyDescent="0.35">
      <c r="A44" s="456"/>
      <c r="B44" s="310">
        <v>385</v>
      </c>
      <c r="C44" s="311">
        <v>33816.92</v>
      </c>
      <c r="D44" s="312">
        <v>38889.46</v>
      </c>
      <c r="E44" s="298"/>
      <c r="F44" s="509">
        <f t="shared" si="0"/>
        <v>2395.3651666666665</v>
      </c>
      <c r="G44" s="297"/>
      <c r="H44" s="297"/>
      <c r="I44" s="297"/>
      <c r="Q44" s="297"/>
      <c r="R44" s="297"/>
      <c r="S44" s="297"/>
    </row>
    <row r="45" spans="1:19" ht="15.6" x14ac:dyDescent="0.3">
      <c r="A45" s="457" t="s">
        <v>341</v>
      </c>
      <c r="B45" s="308">
        <v>450</v>
      </c>
      <c r="C45" s="309">
        <v>38327.919999999998</v>
      </c>
      <c r="D45" s="307">
        <v>42160.71</v>
      </c>
      <c r="E45" s="298"/>
      <c r="F45" s="509">
        <f t="shared" si="0"/>
        <v>2714.8943333333332</v>
      </c>
      <c r="G45" s="297"/>
      <c r="H45" s="297"/>
      <c r="I45" s="297"/>
      <c r="Q45" s="297"/>
      <c r="R45" s="297"/>
      <c r="S45" s="297"/>
    </row>
    <row r="46" spans="1:19" ht="16.2" thickBot="1" x14ac:dyDescent="0.35">
      <c r="A46" s="456"/>
      <c r="B46" s="310">
        <v>500</v>
      </c>
      <c r="C46" s="311">
        <v>41979.92</v>
      </c>
      <c r="D46" s="312">
        <v>43887.82</v>
      </c>
      <c r="E46" s="298"/>
      <c r="F46" s="509">
        <f t="shared" si="0"/>
        <v>2973.5776666666661</v>
      </c>
      <c r="G46" s="297"/>
      <c r="H46" s="297"/>
      <c r="I46" s="297"/>
      <c r="Q46" s="297"/>
      <c r="R46" s="297"/>
      <c r="S46" s="297"/>
    </row>
    <row r="47" spans="1:19" ht="16.2" thickBot="1" x14ac:dyDescent="0.35">
      <c r="A47" s="314" t="s">
        <v>342</v>
      </c>
      <c r="B47" s="310">
        <v>600</v>
      </c>
      <c r="C47" s="311">
        <v>48737.919999999998</v>
      </c>
      <c r="D47" s="312">
        <v>51174.82</v>
      </c>
      <c r="E47" s="298"/>
      <c r="F47" s="510">
        <f t="shared" si="0"/>
        <v>3452.2693333333332</v>
      </c>
      <c r="G47" s="297"/>
      <c r="H47" s="297"/>
      <c r="I47" s="297"/>
      <c r="Q47" s="297"/>
      <c r="R47" s="297"/>
      <c r="S47" s="297"/>
    </row>
    <row r="51" spans="1:8" x14ac:dyDescent="0.25">
      <c r="A51" s="229" t="s">
        <v>29</v>
      </c>
      <c r="B51" s="43"/>
      <c r="C51" s="43"/>
      <c r="D51" s="43"/>
      <c r="E51" s="43"/>
      <c r="F51" s="43"/>
      <c r="G51" s="43"/>
      <c r="H51" s="44"/>
    </row>
    <row r="52" spans="1:8" x14ac:dyDescent="0.25">
      <c r="A52" s="58"/>
      <c r="B52" s="45"/>
      <c r="C52" s="45"/>
      <c r="D52" s="45"/>
      <c r="E52" s="45"/>
      <c r="F52" s="45"/>
      <c r="G52" s="45"/>
      <c r="H52" s="46"/>
    </row>
    <row r="53" spans="1:8" x14ac:dyDescent="0.25">
      <c r="A53" s="58" t="s">
        <v>164</v>
      </c>
      <c r="B53" s="45"/>
      <c r="C53" s="45"/>
      <c r="D53" s="45"/>
      <c r="E53" s="45"/>
      <c r="F53" s="45"/>
      <c r="G53" s="45"/>
      <c r="H53" s="46"/>
    </row>
    <row r="54" spans="1:8" x14ac:dyDescent="0.25">
      <c r="A54" s="58" t="s">
        <v>193</v>
      </c>
      <c r="B54" s="45"/>
      <c r="C54" s="45"/>
      <c r="D54" s="45"/>
      <c r="E54" s="45"/>
      <c r="F54" s="45"/>
      <c r="G54" s="45"/>
      <c r="H54" s="46"/>
    </row>
    <row r="55" spans="1:8" x14ac:dyDescent="0.25">
      <c r="A55" s="101" t="s">
        <v>240</v>
      </c>
      <c r="B55" s="45"/>
      <c r="C55" s="45"/>
      <c r="D55" s="45"/>
      <c r="E55" s="45"/>
      <c r="F55" s="45"/>
      <c r="G55" s="45"/>
      <c r="H55" s="46"/>
    </row>
    <row r="56" spans="1:8" x14ac:dyDescent="0.25">
      <c r="A56" s="459" t="s">
        <v>241</v>
      </c>
      <c r="B56" s="460"/>
      <c r="C56" s="460"/>
      <c r="D56" s="460"/>
      <c r="E56" s="460"/>
      <c r="F56" s="460"/>
      <c r="G56" s="460"/>
      <c r="H56" s="49"/>
    </row>
    <row r="59" spans="1:8" ht="14.4" x14ac:dyDescent="0.3">
      <c r="G59" s="149" t="s">
        <v>262</v>
      </c>
      <c r="H59" s="29" t="s">
        <v>332</v>
      </c>
    </row>
  </sheetData>
  <mergeCells count="48">
    <mergeCell ref="D16:E16"/>
    <mergeCell ref="D17:E17"/>
    <mergeCell ref="B16:C16"/>
    <mergeCell ref="B17:C17"/>
    <mergeCell ref="B18:C18"/>
    <mergeCell ref="B19:C19"/>
    <mergeCell ref="B20:C20"/>
    <mergeCell ref="B24:H24"/>
    <mergeCell ref="A22:A24"/>
    <mergeCell ref="D18:E18"/>
    <mergeCell ref="D19:E19"/>
    <mergeCell ref="D20:E20"/>
    <mergeCell ref="D21:E21"/>
    <mergeCell ref="B23:H23"/>
    <mergeCell ref="B21:C21"/>
    <mergeCell ref="A2:H2"/>
    <mergeCell ref="B13:C13"/>
    <mergeCell ref="B14:C14"/>
    <mergeCell ref="B15:C15"/>
    <mergeCell ref="A7:B7"/>
    <mergeCell ref="C7:D7"/>
    <mergeCell ref="A8:B8"/>
    <mergeCell ref="C8:D8"/>
    <mergeCell ref="D13:E13"/>
    <mergeCell ref="D14:E14"/>
    <mergeCell ref="D15:E15"/>
    <mergeCell ref="A18:A21"/>
    <mergeCell ref="A14:A17"/>
    <mergeCell ref="A9:B9"/>
    <mergeCell ref="A28:H28"/>
    <mergeCell ref="A56:G56"/>
    <mergeCell ref="F1:H1"/>
    <mergeCell ref="A3:H3"/>
    <mergeCell ref="A4:H4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B22:H22"/>
    <mergeCell ref="A32:A38"/>
    <mergeCell ref="A39:A42"/>
    <mergeCell ref="A43:A44"/>
    <mergeCell ref="A45:A46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182E-76C7-4A3F-AE24-540E2F94E3F1}">
  <dimension ref="A1:I28"/>
  <sheetViews>
    <sheetView showGridLines="0" zoomScale="80" zoomScaleNormal="80" workbookViewId="0">
      <selection activeCell="H27" sqref="H27"/>
    </sheetView>
  </sheetViews>
  <sheetFormatPr baseColWidth="10" defaultRowHeight="13.2" x14ac:dyDescent="0.25"/>
  <cols>
    <col min="1" max="1" width="24.44140625" customWidth="1"/>
    <col min="2" max="7" width="20.5546875" customWidth="1"/>
  </cols>
  <sheetData>
    <row r="1" spans="1:9" ht="14.4" x14ac:dyDescent="0.25">
      <c r="A1" s="265" t="s">
        <v>293</v>
      </c>
      <c r="B1" s="265"/>
      <c r="C1" s="265"/>
      <c r="D1" s="265"/>
      <c r="E1" s="154"/>
      <c r="F1" s="319" t="s">
        <v>256</v>
      </c>
      <c r="G1" s="319"/>
      <c r="H1" s="319"/>
    </row>
    <row r="2" spans="1:9" ht="33.6" x14ac:dyDescent="0.3">
      <c r="A2" s="490" t="s">
        <v>294</v>
      </c>
      <c r="B2" s="490"/>
      <c r="C2" s="490"/>
      <c r="D2" s="490"/>
      <c r="E2" s="490"/>
      <c r="F2" s="490"/>
      <c r="G2" s="490"/>
      <c r="H2" s="490"/>
      <c r="I2" s="264"/>
    </row>
    <row r="3" spans="1:9" ht="17.399999999999999" x14ac:dyDescent="0.3">
      <c r="A3" s="358" t="s">
        <v>182</v>
      </c>
      <c r="B3" s="358"/>
      <c r="C3" s="358"/>
      <c r="D3" s="358"/>
      <c r="E3" s="358"/>
      <c r="F3" s="358"/>
      <c r="G3" s="358"/>
      <c r="H3" s="358"/>
    </row>
    <row r="4" spans="1:9" ht="17.399999999999999" x14ac:dyDescent="0.3">
      <c r="A4" s="358" t="s">
        <v>104</v>
      </c>
      <c r="B4" s="358"/>
      <c r="C4" s="358"/>
      <c r="D4" s="358"/>
      <c r="E4" s="358"/>
      <c r="F4" s="358"/>
      <c r="G4" s="358"/>
      <c r="H4" s="358"/>
    </row>
    <row r="5" spans="1:9" ht="15" x14ac:dyDescent="0.25">
      <c r="A5" s="266"/>
      <c r="B5" s="266"/>
      <c r="C5" s="266"/>
      <c r="D5" s="266"/>
      <c r="E5" s="266"/>
      <c r="F5" s="266"/>
    </row>
    <row r="6" spans="1:9" ht="15.6" x14ac:dyDescent="0.25">
      <c r="A6" s="267" t="s">
        <v>114</v>
      </c>
      <c r="B6" s="267"/>
      <c r="C6" s="267"/>
      <c r="D6" s="268" t="s">
        <v>114</v>
      </c>
      <c r="E6" s="268"/>
      <c r="F6" s="268"/>
      <c r="G6" s="173"/>
      <c r="H6" s="173"/>
    </row>
    <row r="7" spans="1:9" ht="15" x14ac:dyDescent="0.25">
      <c r="A7" s="266"/>
      <c r="B7" s="266"/>
      <c r="C7" s="266"/>
      <c r="D7" s="266"/>
      <c r="E7" s="266"/>
      <c r="F7" s="266"/>
    </row>
    <row r="8" spans="1:9" ht="15.6" x14ac:dyDescent="0.25">
      <c r="A8" s="267" t="s">
        <v>18</v>
      </c>
      <c r="B8" s="269">
        <v>44383</v>
      </c>
      <c r="C8" s="269"/>
      <c r="D8" s="266"/>
      <c r="E8" s="266"/>
      <c r="F8" s="270"/>
      <c r="G8" s="113"/>
      <c r="H8" s="18"/>
    </row>
    <row r="9" spans="1:9" ht="15.6" x14ac:dyDescent="0.25">
      <c r="A9" s="267" t="s">
        <v>17</v>
      </c>
      <c r="B9" s="271" t="s">
        <v>25</v>
      </c>
      <c r="C9" s="271"/>
      <c r="D9" s="266"/>
      <c r="E9" s="266"/>
      <c r="F9" s="268"/>
      <c r="G9" s="173"/>
      <c r="H9" s="173"/>
    </row>
    <row r="10" spans="1:9" ht="15.6" x14ac:dyDescent="0.25">
      <c r="A10" s="267" t="s">
        <v>22</v>
      </c>
      <c r="B10" s="271" t="s">
        <v>295</v>
      </c>
      <c r="C10" s="271"/>
      <c r="D10" s="266"/>
      <c r="E10" s="266"/>
      <c r="F10" s="268"/>
      <c r="G10" s="173"/>
      <c r="H10" s="173"/>
    </row>
    <row r="11" spans="1:9" ht="15.6" x14ac:dyDescent="0.25">
      <c r="A11" s="267"/>
      <c r="B11" s="272" t="s">
        <v>296</v>
      </c>
      <c r="C11" s="273"/>
      <c r="D11" s="266"/>
      <c r="E11" s="266"/>
      <c r="F11" s="268"/>
      <c r="G11" s="173"/>
      <c r="H11" s="173"/>
    </row>
    <row r="12" spans="1:9" ht="15.6" x14ac:dyDescent="0.25">
      <c r="A12" s="267"/>
      <c r="B12" s="271"/>
      <c r="C12" s="273"/>
      <c r="D12" s="266"/>
      <c r="E12" s="266"/>
      <c r="F12" s="268"/>
      <c r="G12" s="173"/>
      <c r="H12" s="173"/>
    </row>
    <row r="13" spans="1:9" ht="15.6" x14ac:dyDescent="0.25">
      <c r="A13" s="274" t="s">
        <v>297</v>
      </c>
      <c r="B13" s="271"/>
      <c r="C13" s="219">
        <v>1589.47</v>
      </c>
      <c r="D13" s="266"/>
      <c r="E13" s="266"/>
      <c r="F13" s="268"/>
      <c r="G13" s="173"/>
      <c r="H13" s="173"/>
    </row>
    <row r="14" spans="1:9" ht="15" x14ac:dyDescent="0.25">
      <c r="A14" s="266"/>
      <c r="B14" s="266"/>
      <c r="C14" s="266"/>
      <c r="D14" s="266"/>
      <c r="E14" s="266"/>
      <c r="F14" s="266"/>
      <c r="G14" s="266"/>
    </row>
    <row r="15" spans="1:9" ht="15" x14ac:dyDescent="0.25">
      <c r="A15" s="266"/>
      <c r="B15" s="266"/>
      <c r="C15" s="266"/>
      <c r="D15" s="266"/>
      <c r="E15" s="266"/>
      <c r="F15" s="266"/>
      <c r="G15" s="266"/>
    </row>
    <row r="16" spans="1:9" ht="78.75" customHeight="1" thickBot="1" x14ac:dyDescent="0.3">
      <c r="A16" s="275" t="s">
        <v>298</v>
      </c>
      <c r="B16" s="491" t="s">
        <v>299</v>
      </c>
      <c r="C16" s="492"/>
      <c r="D16" s="493" t="s">
        <v>300</v>
      </c>
      <c r="E16" s="494"/>
      <c r="F16" s="494"/>
      <c r="G16" s="492"/>
    </row>
    <row r="17" spans="1:9" ht="15.6" x14ac:dyDescent="0.25">
      <c r="A17" s="276" t="s">
        <v>301</v>
      </c>
      <c r="B17" s="277" t="s">
        <v>302</v>
      </c>
      <c r="C17" s="278" t="s">
        <v>303</v>
      </c>
      <c r="D17" s="277" t="s">
        <v>302</v>
      </c>
      <c r="E17" s="277" t="s">
        <v>303</v>
      </c>
      <c r="F17" s="277" t="s">
        <v>304</v>
      </c>
      <c r="G17" s="278" t="s">
        <v>305</v>
      </c>
    </row>
    <row r="18" spans="1:9" ht="15.6" x14ac:dyDescent="0.25">
      <c r="A18" s="279" t="s">
        <v>306</v>
      </c>
      <c r="B18" s="488" t="s">
        <v>307</v>
      </c>
      <c r="C18" s="489"/>
      <c r="D18" s="488" t="s">
        <v>308</v>
      </c>
      <c r="E18" s="489"/>
      <c r="F18" s="280"/>
      <c r="G18" s="280"/>
    </row>
    <row r="19" spans="1:9" ht="30" x14ac:dyDescent="0.25">
      <c r="A19" s="281" t="s">
        <v>309</v>
      </c>
      <c r="B19" s="282" t="s">
        <v>310</v>
      </c>
      <c r="C19" s="282" t="s">
        <v>311</v>
      </c>
      <c r="D19" s="282" t="s">
        <v>312</v>
      </c>
      <c r="E19" s="282" t="s">
        <v>313</v>
      </c>
      <c r="F19" s="282" t="s">
        <v>314</v>
      </c>
      <c r="G19" s="282" t="s">
        <v>313</v>
      </c>
    </row>
    <row r="20" spans="1:9" ht="31.2" x14ac:dyDescent="0.25">
      <c r="A20" s="281" t="s">
        <v>315</v>
      </c>
      <c r="B20" s="282" t="s">
        <v>316</v>
      </c>
      <c r="C20" s="282" t="s">
        <v>317</v>
      </c>
      <c r="D20" s="282" t="s">
        <v>318</v>
      </c>
      <c r="E20" s="282" t="s">
        <v>319</v>
      </c>
      <c r="F20" s="282" t="s">
        <v>320</v>
      </c>
      <c r="G20" s="282" t="s">
        <v>319</v>
      </c>
    </row>
    <row r="21" spans="1:9" ht="143.25" customHeight="1" x14ac:dyDescent="0.25">
      <c r="A21" s="281" t="s">
        <v>321</v>
      </c>
      <c r="B21" s="282" t="s">
        <v>322</v>
      </c>
      <c r="C21" s="282" t="s">
        <v>323</v>
      </c>
      <c r="D21" s="282" t="s">
        <v>322</v>
      </c>
      <c r="E21" s="282" t="s">
        <v>324</v>
      </c>
      <c r="F21" s="282" t="s">
        <v>324</v>
      </c>
      <c r="G21" s="282" t="s">
        <v>324</v>
      </c>
      <c r="I21" s="283"/>
    </row>
    <row r="22" spans="1:9" ht="15" x14ac:dyDescent="0.25">
      <c r="A22" s="266"/>
      <c r="B22" s="294"/>
      <c r="C22" s="294"/>
      <c r="D22" s="294"/>
      <c r="E22" s="294"/>
      <c r="F22" s="294"/>
      <c r="G22" s="294"/>
      <c r="I22" s="283"/>
    </row>
    <row r="23" spans="1:9" x14ac:dyDescent="0.25">
      <c r="A23" s="285" t="s">
        <v>29</v>
      </c>
      <c r="B23" s="286"/>
      <c r="C23" s="286"/>
      <c r="D23" s="286"/>
      <c r="E23" s="286"/>
      <c r="F23" s="286"/>
      <c r="G23" s="287"/>
    </row>
    <row r="24" spans="1:9" x14ac:dyDescent="0.25">
      <c r="A24" s="288" t="s">
        <v>326</v>
      </c>
      <c r="B24" s="289"/>
      <c r="C24" s="289"/>
      <c r="D24" s="289"/>
      <c r="E24" s="289"/>
      <c r="F24" s="289"/>
      <c r="G24" s="290"/>
    </row>
    <row r="25" spans="1:9" x14ac:dyDescent="0.25">
      <c r="A25" s="291" t="s">
        <v>327</v>
      </c>
      <c r="B25" s="292"/>
      <c r="C25" s="292"/>
      <c r="D25" s="292"/>
      <c r="E25" s="292"/>
      <c r="F25" s="292"/>
      <c r="G25" s="293"/>
    </row>
    <row r="26" spans="1:9" ht="15" x14ac:dyDescent="0.25">
      <c r="A26" s="266"/>
      <c r="B26" s="266"/>
      <c r="C26" s="266"/>
      <c r="D26" s="266"/>
      <c r="E26" s="266"/>
      <c r="F26" s="266"/>
      <c r="G26" s="266"/>
    </row>
    <row r="27" spans="1:9" ht="14.4" x14ac:dyDescent="0.3">
      <c r="G27" s="284" t="s">
        <v>325</v>
      </c>
      <c r="H27" s="29" t="s">
        <v>332</v>
      </c>
    </row>
    <row r="28" spans="1:9" ht="15" x14ac:dyDescent="0.25">
      <c r="A28" s="266"/>
      <c r="B28" s="266"/>
      <c r="C28" s="266"/>
      <c r="D28" s="266"/>
      <c r="E28" s="266"/>
      <c r="F28" s="266"/>
      <c r="G28" s="266"/>
    </row>
  </sheetData>
  <sheetProtection algorithmName="SHA-512" hashValue="wCjWJEBntHBQ68kKD9ZofNE4UrVNRNr6ocSktOIjg+0jK72MIBWH0EDwQRcqMyhhM5FLYnA/JTtyiKNiVzujWQ==" saltValue="yrAGucAI6TkTvJ6S+1+hmQ==" spinCount="100000" sheet="1" objects="1" scenarios="1"/>
  <mergeCells count="8">
    <mergeCell ref="B18:C18"/>
    <mergeCell ref="D18:E18"/>
    <mergeCell ref="F1:H1"/>
    <mergeCell ref="A2:H2"/>
    <mergeCell ref="A3:H3"/>
    <mergeCell ref="A4:H4"/>
    <mergeCell ref="B16:C16"/>
    <mergeCell ref="D16:G16"/>
  </mergeCells>
  <pageMargins left="0.7" right="0.7" top="0.75" bottom="0.75" header="0.3" footer="0.3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8"/>
  <sheetViews>
    <sheetView showGridLines="0" zoomScale="80" zoomScaleNormal="80" zoomScalePageLayoutView="85" workbookViewId="0">
      <selection activeCell="F38" sqref="F38"/>
    </sheetView>
  </sheetViews>
  <sheetFormatPr baseColWidth="10" defaultRowHeight="13.2" x14ac:dyDescent="0.25"/>
  <cols>
    <col min="1" max="1" width="28.109375" bestFit="1" customWidth="1"/>
    <col min="2" max="2" width="16" customWidth="1"/>
    <col min="3" max="3" width="17.44140625" customWidth="1"/>
    <col min="4" max="4" width="22.5546875" customWidth="1"/>
    <col min="5" max="5" width="23.109375" customWidth="1"/>
    <col min="6" max="6" width="11.5546875" bestFit="1" customWidth="1"/>
  </cols>
  <sheetData>
    <row r="1" spans="1:8" ht="14.4" x14ac:dyDescent="0.25">
      <c r="A1" s="152" t="s">
        <v>255</v>
      </c>
      <c r="B1" s="154"/>
      <c r="C1" s="154"/>
      <c r="D1" s="154"/>
      <c r="E1" s="319" t="s">
        <v>256</v>
      </c>
      <c r="F1" s="319"/>
      <c r="G1" s="152"/>
    </row>
    <row r="2" spans="1:8" ht="33.6" x14ac:dyDescent="0.25">
      <c r="A2" s="342" t="s">
        <v>229</v>
      </c>
      <c r="B2" s="342"/>
      <c r="C2" s="342"/>
      <c r="D2" s="342"/>
      <c r="E2" s="342"/>
      <c r="F2" s="342"/>
      <c r="G2" s="155"/>
      <c r="H2" s="155"/>
    </row>
    <row r="3" spans="1:8" ht="17.399999999999999" x14ac:dyDescent="0.3">
      <c r="A3" s="358" t="s">
        <v>182</v>
      </c>
      <c r="B3" s="358"/>
      <c r="C3" s="358"/>
      <c r="D3" s="358"/>
      <c r="E3" s="358"/>
      <c r="F3" s="358"/>
      <c r="G3" s="30"/>
    </row>
    <row r="4" spans="1:8" ht="17.399999999999999" x14ac:dyDescent="0.3">
      <c r="A4" s="358" t="s">
        <v>104</v>
      </c>
      <c r="B4" s="358"/>
      <c r="C4" s="358"/>
      <c r="D4" s="358"/>
      <c r="E4" s="358"/>
      <c r="F4" s="358"/>
    </row>
    <row r="5" spans="1:8" s="18" customFormat="1" ht="20.100000000000001" customHeight="1" x14ac:dyDescent="0.25">
      <c r="A5"/>
      <c r="B5"/>
      <c r="C5"/>
      <c r="D5"/>
      <c r="E5"/>
      <c r="F5"/>
      <c r="G5"/>
      <c r="H5"/>
    </row>
    <row r="6" spans="1:8" s="18" customFormat="1" ht="20.100000000000001" customHeight="1" x14ac:dyDescent="0.25">
      <c r="A6"/>
      <c r="B6"/>
      <c r="C6"/>
      <c r="D6"/>
      <c r="E6"/>
      <c r="F6"/>
      <c r="G6"/>
      <c r="H6"/>
    </row>
    <row r="7" spans="1:8" s="18" customFormat="1" ht="20.100000000000001" customHeight="1" x14ac:dyDescent="0.25">
      <c r="A7" s="112" t="s">
        <v>18</v>
      </c>
      <c r="B7" s="215">
        <v>44470</v>
      </c>
      <c r="C7" s="113"/>
      <c r="E7" s="19"/>
    </row>
    <row r="8" spans="1:8" s="18" customFormat="1" ht="20.100000000000001" customHeight="1" x14ac:dyDescent="0.25">
      <c r="A8" s="112" t="s">
        <v>17</v>
      </c>
      <c r="B8" s="188" t="s">
        <v>25</v>
      </c>
      <c r="C8" s="114"/>
      <c r="D8" s="114"/>
      <c r="E8" s="19"/>
    </row>
    <row r="9" spans="1:8" ht="13.8" x14ac:dyDescent="0.25">
      <c r="A9" s="112" t="s">
        <v>22</v>
      </c>
      <c r="B9" s="188" t="s">
        <v>242</v>
      </c>
      <c r="C9" s="114"/>
      <c r="D9" s="114"/>
      <c r="E9" s="20"/>
      <c r="F9" s="18"/>
      <c r="G9" s="18"/>
      <c r="H9" s="18"/>
    </row>
    <row r="10" spans="1:8" s="18" customFormat="1" ht="20.100000000000001" customHeight="1" x14ac:dyDescent="0.25">
      <c r="A10" s="73"/>
      <c r="B10" s="188"/>
      <c r="C10" s="114"/>
      <c r="D10" s="114"/>
      <c r="E10" s="74"/>
    </row>
    <row r="11" spans="1:8" s="6" customFormat="1" ht="20.100000000000001" customHeight="1" x14ac:dyDescent="0.25">
      <c r="A11" s="73" t="s">
        <v>190</v>
      </c>
      <c r="B11" s="187"/>
      <c r="C11" s="260">
        <v>1589.47</v>
      </c>
      <c r="D11"/>
      <c r="E11"/>
      <c r="F11"/>
      <c r="G11"/>
      <c r="H11"/>
    </row>
    <row r="12" spans="1:8" s="6" customFormat="1" ht="20.100000000000001" customHeight="1" x14ac:dyDescent="0.25">
      <c r="A12" s="73"/>
      <c r="B12" s="188"/>
      <c r="C12" s="74"/>
      <c r="D12" s="74"/>
      <c r="E12" s="74"/>
      <c r="F12" s="18"/>
      <c r="G12" s="18"/>
      <c r="H12" s="18"/>
    </row>
    <row r="13" spans="1:8" s="14" customFormat="1" ht="36.75" customHeight="1" x14ac:dyDescent="0.25">
      <c r="B13" s="208"/>
      <c r="F13" s="10"/>
      <c r="G13" s="10"/>
      <c r="H13" s="10"/>
    </row>
    <row r="14" spans="1:8" s="14" customFormat="1" ht="30" customHeight="1" x14ac:dyDescent="0.25">
      <c r="A14" s="356" t="s">
        <v>1</v>
      </c>
      <c r="B14" s="357" t="s">
        <v>233</v>
      </c>
      <c r="C14" s="356" t="s">
        <v>23</v>
      </c>
      <c r="D14" s="356"/>
      <c r="E14" s="356"/>
      <c r="F14" s="10"/>
      <c r="G14" s="10"/>
      <c r="H14" s="10"/>
    </row>
    <row r="15" spans="1:8" s="14" customFormat="1" ht="30" customHeight="1" x14ac:dyDescent="0.25">
      <c r="A15" s="356"/>
      <c r="B15" s="356"/>
      <c r="C15" s="233" t="s">
        <v>36</v>
      </c>
      <c r="D15" s="233" t="s">
        <v>3</v>
      </c>
      <c r="E15" s="233" t="s">
        <v>274</v>
      </c>
    </row>
    <row r="16" spans="1:8" s="14" customFormat="1" ht="31.5" customHeight="1" x14ac:dyDescent="0.25">
      <c r="A16" s="233" t="s">
        <v>0</v>
      </c>
      <c r="B16" s="235">
        <v>20637</v>
      </c>
      <c r="C16" s="252">
        <f>B16*100%/12</f>
        <v>1719.75</v>
      </c>
      <c r="D16" s="252">
        <f>B16*100%/12</f>
        <v>1719.75</v>
      </c>
      <c r="E16" s="252">
        <f>IF(B16*100%/12&gt;=C11,B16*100%/12,C11)</f>
        <v>1719.75</v>
      </c>
      <c r="F16" s="26"/>
    </row>
    <row r="17" spans="1:8" s="14" customFormat="1" ht="31.5" customHeight="1" x14ac:dyDescent="0.25">
      <c r="A17" s="233" t="s">
        <v>7</v>
      </c>
      <c r="B17" s="235">
        <v>20827</v>
      </c>
      <c r="C17" s="252">
        <f t="shared" ref="C17:C24" si="0">B17*100%/12</f>
        <v>1735.5833333333333</v>
      </c>
      <c r="D17" s="252">
        <f t="shared" ref="D17:D24" si="1">B17*100%/12</f>
        <v>1735.5833333333333</v>
      </c>
      <c r="E17" s="252">
        <f>IF(B17*100%/12&gt;=C11,B17*100%/12,C11)</f>
        <v>1735.5833333333333</v>
      </c>
      <c r="F17" s="26"/>
    </row>
    <row r="18" spans="1:8" s="14" customFormat="1" ht="31.5" customHeight="1" x14ac:dyDescent="0.25">
      <c r="A18" s="233" t="s">
        <v>2</v>
      </c>
      <c r="B18" s="235">
        <v>21518</v>
      </c>
      <c r="C18" s="252">
        <f t="shared" si="0"/>
        <v>1793.1666666666667</v>
      </c>
      <c r="D18" s="252">
        <f t="shared" si="1"/>
        <v>1793.1666666666667</v>
      </c>
      <c r="E18" s="252">
        <f>IF(B18*100%/12&gt;=C11,B18*100%/12,C11)</f>
        <v>1793.1666666666667</v>
      </c>
      <c r="F18" s="26"/>
    </row>
    <row r="19" spans="1:8" s="14" customFormat="1" ht="31.5" customHeight="1" x14ac:dyDescent="0.25">
      <c r="A19" s="233" t="s">
        <v>8</v>
      </c>
      <c r="B19" s="235">
        <v>22918</v>
      </c>
      <c r="C19" s="252">
        <f t="shared" si="0"/>
        <v>1909.8333333333333</v>
      </c>
      <c r="D19" s="252">
        <f t="shared" si="1"/>
        <v>1909.8333333333333</v>
      </c>
      <c r="E19" s="252">
        <f>IF(B19*100%/12&gt;=C11,B19*100%/12,C11)</f>
        <v>1909.8333333333333</v>
      </c>
      <c r="F19" s="26"/>
    </row>
    <row r="20" spans="1:8" s="14" customFormat="1" ht="31.5" customHeight="1" x14ac:dyDescent="0.25">
      <c r="A20" s="233" t="s">
        <v>9</v>
      </c>
      <c r="B20" s="235">
        <v>26065</v>
      </c>
      <c r="C20" s="252">
        <f t="shared" si="0"/>
        <v>2172.0833333333335</v>
      </c>
      <c r="D20" s="252">
        <f t="shared" si="1"/>
        <v>2172.0833333333335</v>
      </c>
      <c r="E20" s="252">
        <f>IF(B20*100%/12&gt;=C11,B20*100%/12,C11)</f>
        <v>2172.0833333333335</v>
      </c>
      <c r="F20" s="26"/>
    </row>
    <row r="21" spans="1:8" s="14" customFormat="1" ht="31.5" customHeight="1" x14ac:dyDescent="0.25">
      <c r="A21" s="233" t="s">
        <v>10</v>
      </c>
      <c r="B21" s="235">
        <v>28811</v>
      </c>
      <c r="C21" s="252">
        <f t="shared" si="0"/>
        <v>2400.9166666666665</v>
      </c>
      <c r="D21" s="252">
        <f t="shared" si="1"/>
        <v>2400.9166666666665</v>
      </c>
      <c r="E21" s="252">
        <f>IF(B21*100%/12&gt;=C11,B21*100%/12,C11)</f>
        <v>2400.9166666666665</v>
      </c>
      <c r="F21" s="26"/>
    </row>
    <row r="22" spans="1:8" s="14" customFormat="1" ht="31.5" customHeight="1" x14ac:dyDescent="0.25">
      <c r="A22" s="233" t="s">
        <v>11</v>
      </c>
      <c r="B22" s="235">
        <v>33776</v>
      </c>
      <c r="C22" s="252">
        <f t="shared" si="0"/>
        <v>2814.6666666666665</v>
      </c>
      <c r="D22" s="252">
        <f t="shared" si="1"/>
        <v>2814.6666666666665</v>
      </c>
      <c r="E22" s="252">
        <f>IF(B22*100%/12&gt;=C11,B22*100%/12,C11)</f>
        <v>2814.6666666666665</v>
      </c>
      <c r="F22" s="26"/>
    </row>
    <row r="23" spans="1:8" ht="31.5" customHeight="1" x14ac:dyDescent="0.25">
      <c r="A23" s="233" t="s">
        <v>13</v>
      </c>
      <c r="B23" s="235">
        <v>39037</v>
      </c>
      <c r="C23" s="252">
        <f t="shared" si="0"/>
        <v>3253.0833333333335</v>
      </c>
      <c r="D23" s="252">
        <f t="shared" si="1"/>
        <v>3253.0833333333335</v>
      </c>
      <c r="E23" s="252">
        <f>IF(B23*100%/12&gt;=C11,B23*100%/12,C11)</f>
        <v>3253.0833333333335</v>
      </c>
      <c r="F23" s="26"/>
      <c r="G23" s="14"/>
      <c r="H23" s="14"/>
    </row>
    <row r="24" spans="1:8" ht="31.5" customHeight="1" x14ac:dyDescent="0.25">
      <c r="A24" s="233" t="s">
        <v>14</v>
      </c>
      <c r="B24" s="235">
        <v>51046</v>
      </c>
      <c r="C24" s="252">
        <f t="shared" si="0"/>
        <v>4253.833333333333</v>
      </c>
      <c r="D24" s="252">
        <f t="shared" si="1"/>
        <v>4253.833333333333</v>
      </c>
      <c r="E24" s="252">
        <f>IF(B24*100%/12&gt;=C11,B24*100%/12,C11)</f>
        <v>4253.833333333333</v>
      </c>
      <c r="F24" s="26"/>
      <c r="G24" s="14"/>
      <c r="H24" s="14"/>
    </row>
    <row r="25" spans="1:8" ht="20.100000000000001" customHeight="1" x14ac:dyDescent="0.25">
      <c r="A25" s="230"/>
      <c r="B25" s="231"/>
      <c r="C25" s="21"/>
      <c r="D25" s="21"/>
    </row>
    <row r="26" spans="1:8" ht="20.100000000000001" customHeight="1" x14ac:dyDescent="0.25">
      <c r="A26" s="42" t="s">
        <v>24</v>
      </c>
      <c r="B26" s="43"/>
      <c r="C26" s="43"/>
      <c r="D26" s="43"/>
      <c r="E26" s="44"/>
    </row>
    <row r="27" spans="1:8" ht="20.100000000000001" customHeight="1" x14ac:dyDescent="0.25">
      <c r="A27" s="119" t="s">
        <v>39</v>
      </c>
      <c r="B27" s="181" t="s">
        <v>47</v>
      </c>
      <c r="C27" s="47"/>
      <c r="D27" s="47"/>
      <c r="E27" s="50"/>
    </row>
    <row r="28" spans="1:8" ht="12.75" customHeight="1" x14ac:dyDescent="0.25">
      <c r="A28" s="119" t="s">
        <v>37</v>
      </c>
      <c r="B28" s="181" t="s">
        <v>47</v>
      </c>
      <c r="C28" s="47"/>
      <c r="D28" s="47"/>
      <c r="E28" s="50"/>
    </row>
    <row r="29" spans="1:8" s="22" customFormat="1" ht="20.100000000000001" customHeight="1" x14ac:dyDescent="0.25">
      <c r="A29" s="119" t="s">
        <v>38</v>
      </c>
      <c r="B29" s="181" t="s">
        <v>48</v>
      </c>
      <c r="C29" s="47"/>
      <c r="D29" s="47"/>
      <c r="E29" s="50"/>
      <c r="F29"/>
      <c r="G29"/>
      <c r="H29"/>
    </row>
    <row r="30" spans="1:8" s="22" customFormat="1" ht="23.25" customHeight="1" x14ac:dyDescent="0.25">
      <c r="A30" s="58"/>
      <c r="B30" s="45"/>
      <c r="C30" s="45"/>
      <c r="D30" s="45"/>
      <c r="E30" s="46"/>
      <c r="F30"/>
      <c r="G30"/>
      <c r="H30"/>
    </row>
    <row r="31" spans="1:8" s="4" customFormat="1" ht="27" customHeight="1" x14ac:dyDescent="0.25">
      <c r="A31" s="77" t="s">
        <v>29</v>
      </c>
      <c r="B31" s="76"/>
      <c r="C31" s="76"/>
      <c r="D31" s="76"/>
      <c r="E31" s="78"/>
      <c r="F31" s="22"/>
      <c r="G31" s="22"/>
      <c r="H31" s="22"/>
    </row>
    <row r="32" spans="1:8" x14ac:dyDescent="0.25">
      <c r="A32" s="359" t="s">
        <v>243</v>
      </c>
      <c r="B32" s="360"/>
      <c r="C32" s="360"/>
      <c r="D32" s="360"/>
      <c r="E32" s="495"/>
      <c r="F32" s="22"/>
      <c r="G32" s="22"/>
      <c r="H32" s="22"/>
    </row>
    <row r="33" spans="1:8" x14ac:dyDescent="0.25">
      <c r="A33" s="359" t="s">
        <v>46</v>
      </c>
      <c r="B33" s="360"/>
      <c r="C33" s="360"/>
      <c r="D33" s="360"/>
      <c r="E33" s="495"/>
      <c r="F33" s="4"/>
      <c r="G33" s="4"/>
      <c r="H33" s="4"/>
    </row>
    <row r="34" spans="1:8" s="22" customFormat="1" ht="18.75" customHeight="1" x14ac:dyDescent="0.25">
      <c r="A34" s="352" t="s">
        <v>49</v>
      </c>
      <c r="B34" s="353"/>
      <c r="C34" s="353"/>
      <c r="D34" s="353"/>
      <c r="E34" s="364"/>
      <c r="F34"/>
      <c r="G34"/>
      <c r="H34"/>
    </row>
    <row r="36" spans="1:8" x14ac:dyDescent="0.25">
      <c r="A36" s="365"/>
      <c r="B36" s="365"/>
      <c r="C36" s="365"/>
      <c r="D36" s="365"/>
      <c r="E36" s="365"/>
      <c r="F36" s="25"/>
      <c r="G36" s="25"/>
      <c r="H36" s="22"/>
    </row>
    <row r="38" spans="1:8" ht="14.4" x14ac:dyDescent="0.3">
      <c r="E38" s="149" t="s">
        <v>261</v>
      </c>
      <c r="F38" s="29" t="s">
        <v>332</v>
      </c>
    </row>
  </sheetData>
  <sheetProtection algorithmName="SHA-512" hashValue="JbiwSWAKSIeR8u5XNj6GmZCXWTJTdulMszb/8RDI34HWdE+Z6JPBHTrXzKr32Ef9YGL+incXPtTWaOE5/608fA==" saltValue="FUuUMERwGY6r0/J7gqlD5g==" spinCount="100000" sheet="1" objects="1" scenarios="1"/>
  <mergeCells count="11">
    <mergeCell ref="E1:F1"/>
    <mergeCell ref="A2:F2"/>
    <mergeCell ref="A36:E36"/>
    <mergeCell ref="A33:E33"/>
    <mergeCell ref="A34:E34"/>
    <mergeCell ref="C14:E14"/>
    <mergeCell ref="A14:A15"/>
    <mergeCell ref="B14:B15"/>
    <mergeCell ref="A32:E3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showGridLines="0" zoomScale="80" zoomScaleNormal="80" workbookViewId="0">
      <selection activeCell="L60" sqref="L60"/>
    </sheetView>
  </sheetViews>
  <sheetFormatPr baseColWidth="10" defaultRowHeight="13.2" x14ac:dyDescent="0.25"/>
  <cols>
    <col min="1" max="1" width="8.44140625" bestFit="1" customWidth="1"/>
    <col min="2" max="2" width="20.5546875" customWidth="1"/>
    <col min="3" max="7" width="17.44140625" customWidth="1"/>
  </cols>
  <sheetData>
    <row r="1" spans="1:8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8" ht="33.6" x14ac:dyDescent="0.25">
      <c r="A2" s="342" t="s">
        <v>228</v>
      </c>
      <c r="B2" s="342"/>
      <c r="C2" s="342"/>
      <c r="D2" s="342"/>
      <c r="E2" s="342"/>
      <c r="F2" s="342"/>
      <c r="G2" s="342"/>
      <c r="H2" s="342"/>
    </row>
    <row r="3" spans="1:8" ht="17.399999999999999" x14ac:dyDescent="0.3">
      <c r="A3" s="358" t="s">
        <v>182</v>
      </c>
      <c r="B3" s="358"/>
      <c r="C3" s="358"/>
      <c r="D3" s="358"/>
      <c r="E3" s="358"/>
      <c r="F3" s="358"/>
      <c r="G3" s="358"/>
    </row>
    <row r="4" spans="1:8" ht="17.399999999999999" x14ac:dyDescent="0.3">
      <c r="A4" s="358" t="s">
        <v>104</v>
      </c>
      <c r="B4" s="358"/>
      <c r="C4" s="358"/>
      <c r="D4" s="358"/>
      <c r="E4" s="358"/>
      <c r="F4" s="358"/>
      <c r="G4" s="358"/>
    </row>
    <row r="5" spans="1:8" s="18" customFormat="1" ht="13.8" x14ac:dyDescent="0.25">
      <c r="A5"/>
      <c r="B5"/>
      <c r="C5"/>
      <c r="D5"/>
      <c r="E5"/>
      <c r="F5"/>
      <c r="G5"/>
      <c r="H5"/>
    </row>
    <row r="6" spans="1:8" s="18" customFormat="1" ht="13.8" x14ac:dyDescent="0.25">
      <c r="A6"/>
      <c r="B6"/>
      <c r="C6"/>
      <c r="D6"/>
      <c r="E6"/>
      <c r="F6"/>
      <c r="G6"/>
      <c r="H6"/>
    </row>
    <row r="7" spans="1:8" s="18" customFormat="1" ht="13.8" x14ac:dyDescent="0.25">
      <c r="A7" s="109" t="s">
        <v>18</v>
      </c>
      <c r="C7" s="215">
        <v>44470</v>
      </c>
      <c r="E7" s="19"/>
      <c r="F7" s="19"/>
      <c r="G7" s="19"/>
    </row>
    <row r="8" spans="1:8" s="18" customFormat="1" ht="20.100000000000001" customHeight="1" x14ac:dyDescent="0.25">
      <c r="A8" s="109" t="s">
        <v>17</v>
      </c>
      <c r="C8" s="188" t="s">
        <v>25</v>
      </c>
      <c r="D8" s="110"/>
      <c r="E8" s="19"/>
      <c r="F8" s="19"/>
      <c r="G8" s="19"/>
    </row>
    <row r="9" spans="1:8" ht="13.8" x14ac:dyDescent="0.25">
      <c r="A9" s="109" t="s">
        <v>22</v>
      </c>
      <c r="B9" s="18"/>
      <c r="C9" s="188" t="s">
        <v>244</v>
      </c>
      <c r="D9" s="110"/>
      <c r="E9" s="20"/>
      <c r="F9" s="20"/>
      <c r="G9" s="20"/>
      <c r="H9" s="18"/>
    </row>
    <row r="10" spans="1:8" s="4" customFormat="1" ht="20.100000000000001" customHeight="1" x14ac:dyDescent="0.25">
      <c r="A10" s="73"/>
      <c r="B10" s="18"/>
      <c r="C10" s="74"/>
      <c r="D10" s="74"/>
      <c r="E10" s="74"/>
      <c r="F10" s="74"/>
      <c r="G10" s="74"/>
      <c r="H10" s="18"/>
    </row>
    <row r="11" spans="1:8" s="6" customFormat="1" ht="20.100000000000001" hidden="1" customHeight="1" x14ac:dyDescent="0.25">
      <c r="A11" s="73" t="s">
        <v>190</v>
      </c>
      <c r="B11"/>
      <c r="C11"/>
      <c r="D11" s="137">
        <v>1589.47</v>
      </c>
      <c r="E11"/>
      <c r="F11"/>
      <c r="G11"/>
      <c r="H11"/>
    </row>
    <row r="12" spans="1:8" s="6" customFormat="1" ht="20.100000000000001" hidden="1" customHeight="1" x14ac:dyDescent="0.25">
      <c r="A12" s="2"/>
      <c r="B12" s="14"/>
      <c r="C12" s="14"/>
      <c r="D12" s="14"/>
      <c r="E12" s="14"/>
      <c r="F12" s="14"/>
      <c r="G12" s="14"/>
      <c r="H12" s="4"/>
    </row>
    <row r="13" spans="1:8" s="14" customFormat="1" ht="22.5" hidden="1" customHeight="1" x14ac:dyDescent="0.25">
      <c r="A13" s="5"/>
      <c r="B13" s="16"/>
      <c r="C13" s="15" t="s">
        <v>4</v>
      </c>
      <c r="D13" s="17"/>
      <c r="E13" s="17"/>
      <c r="F13" s="17"/>
      <c r="G13" s="15" t="s">
        <v>3</v>
      </c>
      <c r="H13" s="6"/>
    </row>
    <row r="14" spans="1:8" s="14" customFormat="1" ht="20.100000000000001" hidden="1" customHeight="1" x14ac:dyDescent="0.25">
      <c r="A14" s="5"/>
      <c r="B14" s="3"/>
      <c r="C14" s="1">
        <v>0.55000000000000004</v>
      </c>
      <c r="D14" s="1"/>
      <c r="E14" s="1"/>
      <c r="F14" s="1"/>
      <c r="G14" s="1">
        <v>0.7</v>
      </c>
      <c r="H14" s="6"/>
    </row>
    <row r="15" spans="1:8" s="14" customFormat="1" ht="20.100000000000001" hidden="1" customHeight="1" x14ac:dyDescent="0.25">
      <c r="A15" s="8" t="s">
        <v>5</v>
      </c>
      <c r="B15" s="9"/>
      <c r="C15" s="7" t="e">
        <f>SUM(#REF!*C14)</f>
        <v>#REF!</v>
      </c>
      <c r="D15" s="7"/>
      <c r="E15" s="7"/>
      <c r="F15" s="7"/>
      <c r="G15" s="7" t="s">
        <v>177</v>
      </c>
    </row>
    <row r="16" spans="1:8" s="10" customFormat="1" ht="20.100000000000001" hidden="1" customHeight="1" x14ac:dyDescent="0.25">
      <c r="A16" s="13" t="s">
        <v>6</v>
      </c>
      <c r="B16" s="11"/>
      <c r="C16" s="12"/>
      <c r="D16" s="12"/>
      <c r="E16" s="12"/>
      <c r="F16" s="12"/>
      <c r="G16" s="12"/>
      <c r="H16" s="14"/>
    </row>
    <row r="17" spans="1:8" s="14" customFormat="1" ht="36.75" customHeight="1" x14ac:dyDescent="0.25">
      <c r="H17" s="10"/>
    </row>
    <row r="18" spans="1:8" s="14" customFormat="1" ht="30" customHeight="1" x14ac:dyDescent="0.25">
      <c r="A18" s="361" t="s">
        <v>1</v>
      </c>
      <c r="B18" s="356" t="s">
        <v>12</v>
      </c>
      <c r="C18" s="356" t="s">
        <v>23</v>
      </c>
      <c r="D18" s="356"/>
      <c r="E18" s="356"/>
      <c r="F18" s="356"/>
      <c r="G18" s="356"/>
      <c r="H18" s="10"/>
    </row>
    <row r="19" spans="1:8" s="14" customFormat="1" ht="30" customHeight="1" x14ac:dyDescent="0.25">
      <c r="A19" s="362"/>
      <c r="B19" s="356"/>
      <c r="C19" s="354" t="s">
        <v>151</v>
      </c>
      <c r="D19" s="355"/>
      <c r="E19" s="354" t="s">
        <v>166</v>
      </c>
      <c r="F19" s="355"/>
      <c r="G19" s="233" t="s">
        <v>275</v>
      </c>
    </row>
    <row r="20" spans="1:8" s="14" customFormat="1" ht="30" customHeight="1" x14ac:dyDescent="0.25">
      <c r="A20" s="363"/>
      <c r="B20" s="356"/>
      <c r="C20" s="233" t="s">
        <v>276</v>
      </c>
      <c r="D20" s="233" t="s">
        <v>277</v>
      </c>
      <c r="E20" s="233" t="s">
        <v>276</v>
      </c>
      <c r="F20" s="233" t="s">
        <v>277</v>
      </c>
      <c r="G20" s="233" t="s">
        <v>21</v>
      </c>
      <c r="H20" s="27"/>
    </row>
    <row r="21" spans="1:8" s="14" customFormat="1" ht="30.75" customHeight="1" x14ac:dyDescent="0.25">
      <c r="A21" s="233">
        <v>1</v>
      </c>
      <c r="B21" s="235">
        <v>19180</v>
      </c>
      <c r="C21" s="238">
        <f t="shared" ref="C21:C27" si="0">B21*55%/12</f>
        <v>879.08333333333337</v>
      </c>
      <c r="D21" s="238">
        <f>B21*65%/12</f>
        <v>1038.9166666666667</v>
      </c>
      <c r="E21" s="238">
        <f>B21*70%/12</f>
        <v>1118.8333333333333</v>
      </c>
      <c r="F21" s="238">
        <f t="shared" ref="F21:F27" si="1">B21*80%/12</f>
        <v>1278.6666666666667</v>
      </c>
      <c r="G21" s="238">
        <f>IF(B21*85%/12&gt;=D11,B21*85%/12,D11)</f>
        <v>1589.47</v>
      </c>
      <c r="H21" s="28"/>
    </row>
    <row r="22" spans="1:8" s="14" customFormat="1" ht="30.75" customHeight="1" x14ac:dyDescent="0.25">
      <c r="A22" s="233">
        <v>2</v>
      </c>
      <c r="B22" s="235">
        <v>20400</v>
      </c>
      <c r="C22" s="238">
        <f t="shared" si="0"/>
        <v>935</v>
      </c>
      <c r="D22" s="238">
        <f t="shared" ref="D22:D27" si="2">B22*65%/12</f>
        <v>1105</v>
      </c>
      <c r="E22" s="238">
        <f t="shared" ref="E22:E27" si="3">B22*70%/12</f>
        <v>1190</v>
      </c>
      <c r="F22" s="238">
        <f t="shared" si="1"/>
        <v>1360</v>
      </c>
      <c r="G22" s="238">
        <f>IF(B22*85%/12&gt;=D11,B22*85%/12,D11)</f>
        <v>1589.47</v>
      </c>
      <c r="H22" s="28"/>
    </row>
    <row r="23" spans="1:8" s="14" customFormat="1" ht="30.75" customHeight="1" x14ac:dyDescent="0.25">
      <c r="A23" s="233">
        <v>3</v>
      </c>
      <c r="B23" s="235">
        <v>22990</v>
      </c>
      <c r="C23" s="238">
        <f t="shared" si="0"/>
        <v>1053.7083333333335</v>
      </c>
      <c r="D23" s="238">
        <f t="shared" si="2"/>
        <v>1245.2916666666667</v>
      </c>
      <c r="E23" s="238">
        <f t="shared" si="3"/>
        <v>1341.0833333333333</v>
      </c>
      <c r="F23" s="238">
        <f t="shared" si="1"/>
        <v>1532.6666666666667</v>
      </c>
      <c r="G23" s="238">
        <f>IF(B23*85%/12&gt;=D11,B23*85%/12,D11)</f>
        <v>1628.4583333333333</v>
      </c>
      <c r="H23" s="28"/>
    </row>
    <row r="24" spans="1:8" s="14" customFormat="1" ht="30.75" customHeight="1" x14ac:dyDescent="0.25">
      <c r="A24" s="233">
        <v>4</v>
      </c>
      <c r="B24" s="235">
        <v>27460</v>
      </c>
      <c r="C24" s="238">
        <f t="shared" si="0"/>
        <v>1258.5833333333335</v>
      </c>
      <c r="D24" s="238">
        <f t="shared" si="2"/>
        <v>1487.4166666666667</v>
      </c>
      <c r="E24" s="238">
        <f t="shared" si="3"/>
        <v>1601.8333333333333</v>
      </c>
      <c r="F24" s="238">
        <f t="shared" si="1"/>
        <v>1830.6666666666667</v>
      </c>
      <c r="G24" s="238">
        <f>IF(B24*85%/12&gt;=D11,B24*85%/12,D11)</f>
        <v>1945.0833333333333</v>
      </c>
      <c r="H24" s="28"/>
    </row>
    <row r="25" spans="1:8" s="14" customFormat="1" ht="30.75" customHeight="1" x14ac:dyDescent="0.25">
      <c r="A25" s="233">
        <v>5</v>
      </c>
      <c r="B25" s="235">
        <v>32230</v>
      </c>
      <c r="C25" s="238">
        <f t="shared" si="0"/>
        <v>1477.2083333333333</v>
      </c>
      <c r="D25" s="238">
        <f t="shared" si="2"/>
        <v>1745.7916666666667</v>
      </c>
      <c r="E25" s="238">
        <f t="shared" si="3"/>
        <v>1880.0833333333333</v>
      </c>
      <c r="F25" s="238">
        <f t="shared" si="1"/>
        <v>2148.6666666666665</v>
      </c>
      <c r="G25" s="238">
        <f>IF(B25*85%/12&gt;=D11,B25*85%/12,D11)</f>
        <v>2282.9583333333335</v>
      </c>
      <c r="H25" s="28"/>
    </row>
    <row r="26" spans="1:8" ht="30.75" customHeight="1" x14ac:dyDescent="0.25">
      <c r="A26" s="233">
        <v>6</v>
      </c>
      <c r="B26" s="235">
        <v>422210</v>
      </c>
      <c r="C26" s="238">
        <f t="shared" si="0"/>
        <v>19351.291666666668</v>
      </c>
      <c r="D26" s="238">
        <f t="shared" si="2"/>
        <v>22869.708333333332</v>
      </c>
      <c r="E26" s="238">
        <f t="shared" si="3"/>
        <v>24628.916666666668</v>
      </c>
      <c r="F26" s="238">
        <f t="shared" si="1"/>
        <v>28147.333333333332</v>
      </c>
      <c r="G26" s="238">
        <f>IF(B26*85%/12&gt;=D11,B26*85%/12,D11)</f>
        <v>29906.541666666668</v>
      </c>
      <c r="H26" s="28"/>
    </row>
    <row r="27" spans="1:8" ht="30.75" customHeight="1" x14ac:dyDescent="0.25">
      <c r="A27" s="233">
        <v>7</v>
      </c>
      <c r="B27" s="235">
        <v>57340</v>
      </c>
      <c r="C27" s="238">
        <f t="shared" si="0"/>
        <v>2628.0833333333335</v>
      </c>
      <c r="D27" s="238">
        <f t="shared" si="2"/>
        <v>3105.9166666666665</v>
      </c>
      <c r="E27" s="238">
        <f t="shared" si="3"/>
        <v>3344.8333333333335</v>
      </c>
      <c r="F27" s="238">
        <f t="shared" si="1"/>
        <v>3822.6666666666665</v>
      </c>
      <c r="G27" s="238">
        <f>IF(B27*85%/12&gt;=D11,B27*85%/12,D11)</f>
        <v>4061.5833333333335</v>
      </c>
      <c r="H27" s="28"/>
    </row>
    <row r="28" spans="1:8" ht="14.4" customHeight="1" x14ac:dyDescent="0.25">
      <c r="A28" s="367"/>
      <c r="B28" s="367"/>
      <c r="C28" s="367"/>
      <c r="D28" s="367"/>
      <c r="E28" s="367"/>
      <c r="F28" s="367"/>
      <c r="G28" s="367"/>
    </row>
    <row r="29" spans="1:8" ht="14.4" customHeight="1" x14ac:dyDescent="0.25">
      <c r="A29" s="42" t="s">
        <v>24</v>
      </c>
      <c r="B29" s="43"/>
      <c r="C29" s="43"/>
      <c r="D29" s="43"/>
      <c r="E29" s="43"/>
      <c r="F29" s="43"/>
      <c r="G29" s="44"/>
    </row>
    <row r="30" spans="1:8" ht="14.4" customHeight="1" x14ac:dyDescent="0.25">
      <c r="A30" s="111" t="s">
        <v>32</v>
      </c>
      <c r="B30" s="116"/>
      <c r="C30" s="116"/>
      <c r="D30" s="181" t="s">
        <v>41</v>
      </c>
      <c r="E30" s="47"/>
      <c r="F30" s="47"/>
      <c r="G30" s="50"/>
    </row>
    <row r="31" spans="1:8" ht="14.4" customHeight="1" x14ac:dyDescent="0.25">
      <c r="A31" s="111" t="s">
        <v>33</v>
      </c>
      <c r="B31" s="116"/>
      <c r="C31" s="116"/>
      <c r="D31" s="181" t="s">
        <v>43</v>
      </c>
      <c r="E31" s="47"/>
      <c r="F31" s="47"/>
      <c r="G31" s="50"/>
    </row>
    <row r="32" spans="1:8" ht="14.4" customHeight="1" x14ac:dyDescent="0.25">
      <c r="A32" s="111" t="s">
        <v>34</v>
      </c>
      <c r="B32" s="116"/>
      <c r="C32" s="116"/>
      <c r="D32" s="181" t="s">
        <v>42</v>
      </c>
      <c r="E32" s="47"/>
      <c r="F32" s="47"/>
      <c r="G32" s="50"/>
    </row>
    <row r="33" spans="1:8" x14ac:dyDescent="0.25">
      <c r="A33" s="111" t="s">
        <v>35</v>
      </c>
      <c r="B33" s="116"/>
      <c r="C33" s="116"/>
      <c r="D33" s="181" t="s">
        <v>44</v>
      </c>
      <c r="E33" s="47"/>
      <c r="F33" s="47"/>
      <c r="G33" s="50"/>
    </row>
    <row r="34" spans="1:8" s="22" customFormat="1" ht="20.100000000000001" customHeight="1" x14ac:dyDescent="0.25">
      <c r="A34" s="111" t="s">
        <v>26</v>
      </c>
      <c r="B34" s="116"/>
      <c r="C34" s="116"/>
      <c r="D34" s="181" t="s">
        <v>245</v>
      </c>
      <c r="E34" s="47"/>
      <c r="F34" s="47"/>
      <c r="G34" s="50"/>
      <c r="H34"/>
    </row>
    <row r="35" spans="1:8" s="22" customFormat="1" ht="18" customHeight="1" x14ac:dyDescent="0.25">
      <c r="A35" s="58"/>
      <c r="B35" s="45"/>
      <c r="C35" s="45"/>
      <c r="D35" s="45"/>
      <c r="E35" s="45"/>
      <c r="F35" s="45"/>
      <c r="G35" s="46"/>
      <c r="H35"/>
    </row>
    <row r="36" spans="1:8" s="22" customFormat="1" ht="27" customHeight="1" x14ac:dyDescent="0.25">
      <c r="A36" s="77" t="s">
        <v>29</v>
      </c>
      <c r="B36" s="76"/>
      <c r="C36" s="76"/>
      <c r="D36" s="76"/>
      <c r="E36" s="76"/>
      <c r="F36" s="76"/>
      <c r="G36" s="78"/>
    </row>
    <row r="37" spans="1:8" s="22" customFormat="1" x14ac:dyDescent="0.25">
      <c r="A37" s="359" t="s">
        <v>183</v>
      </c>
      <c r="B37" s="360"/>
      <c r="C37" s="360"/>
      <c r="D37" s="360"/>
      <c r="E37" s="360"/>
      <c r="F37" s="360"/>
      <c r="G37" s="495"/>
    </row>
    <row r="38" spans="1:8" x14ac:dyDescent="0.25">
      <c r="A38" s="352" t="s">
        <v>191</v>
      </c>
      <c r="B38" s="353"/>
      <c r="C38" s="353"/>
      <c r="D38" s="353"/>
      <c r="E38" s="353"/>
      <c r="F38" s="353"/>
      <c r="G38" s="364"/>
      <c r="H38" s="22"/>
    </row>
    <row r="39" spans="1:8" x14ac:dyDescent="0.25">
      <c r="A39" s="25"/>
      <c r="B39" s="25"/>
      <c r="C39" s="25"/>
      <c r="D39" s="25"/>
      <c r="E39" s="25"/>
      <c r="F39" s="29"/>
      <c r="G39" s="22"/>
      <c r="H39" s="22"/>
    </row>
    <row r="42" spans="1:8" ht="14.4" x14ac:dyDescent="0.3">
      <c r="G42" s="149" t="s">
        <v>260</v>
      </c>
      <c r="H42" s="29" t="s">
        <v>332</v>
      </c>
    </row>
  </sheetData>
  <sheetProtection algorithmName="SHA-512" hashValue="AiocHQHBHB3MD3SmhxcXc1NGx3Z0EaffIaBpofJTJ2FRcSVtl+ohi/iK6d2isp8O9EAsIlWslhr/lAf0s+yNlg==" saltValue="9XLYorsyqBZ1ZXQjZNRAmw==" spinCount="100000" sheet="1" objects="1" scenarios="1"/>
  <mergeCells count="12">
    <mergeCell ref="A2:H2"/>
    <mergeCell ref="F1:H1"/>
    <mergeCell ref="A3:G3"/>
    <mergeCell ref="A37:G37"/>
    <mergeCell ref="A38:G38"/>
    <mergeCell ref="A4:G4"/>
    <mergeCell ref="E19:F19"/>
    <mergeCell ref="A28:G28"/>
    <mergeCell ref="C18:G18"/>
    <mergeCell ref="C19:D19"/>
    <mergeCell ref="B18:B20"/>
    <mergeCell ref="A18:A20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F1C8-6FC2-4A9C-83EC-B4F9500E64BC}">
  <dimension ref="A1:H17"/>
  <sheetViews>
    <sheetView showGridLines="0" zoomScale="80" zoomScaleNormal="80" workbookViewId="0">
      <selection activeCell="H17" sqref="H17"/>
    </sheetView>
  </sheetViews>
  <sheetFormatPr baseColWidth="10" defaultRowHeight="13.2" x14ac:dyDescent="0.25"/>
  <cols>
    <col min="3" max="3" width="13" customWidth="1"/>
  </cols>
  <sheetData>
    <row r="1" spans="1:8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8" ht="33.6" x14ac:dyDescent="0.25">
      <c r="A2" s="342" t="s">
        <v>230</v>
      </c>
      <c r="B2" s="342"/>
      <c r="C2" s="342"/>
      <c r="D2" s="342"/>
      <c r="E2" s="342"/>
      <c r="F2" s="342"/>
      <c r="G2" s="342"/>
      <c r="H2" s="342"/>
    </row>
    <row r="5" spans="1:8" s="18" customFormat="1" ht="13.8" x14ac:dyDescent="0.25">
      <c r="A5" s="168" t="s">
        <v>18</v>
      </c>
      <c r="C5" s="215">
        <v>44470</v>
      </c>
      <c r="E5" s="168"/>
      <c r="F5" s="168"/>
      <c r="G5" s="168"/>
    </row>
    <row r="6" spans="1:8" s="18" customFormat="1" ht="20.100000000000001" customHeight="1" x14ac:dyDescent="0.25">
      <c r="A6" s="168" t="s">
        <v>17</v>
      </c>
      <c r="C6" s="188" t="s">
        <v>25</v>
      </c>
      <c r="D6" s="173"/>
      <c r="E6" s="168"/>
      <c r="F6" s="168"/>
      <c r="G6" s="168"/>
    </row>
    <row r="7" spans="1:8" ht="13.8" x14ac:dyDescent="0.25">
      <c r="A7" s="168" t="s">
        <v>22</v>
      </c>
      <c r="B7" s="18"/>
      <c r="C7" s="188" t="s">
        <v>230</v>
      </c>
      <c r="D7" s="173"/>
      <c r="E7" s="173"/>
      <c r="F7" s="173"/>
      <c r="G7" s="173"/>
      <c r="H7" s="18"/>
    </row>
    <row r="11" spans="1:8" ht="15.6" x14ac:dyDescent="0.25">
      <c r="A11" s="500" t="s">
        <v>95</v>
      </c>
      <c r="B11" s="501"/>
      <c r="C11" s="500" t="s">
        <v>246</v>
      </c>
      <c r="D11" s="501"/>
      <c r="E11" s="500" t="s">
        <v>96</v>
      </c>
      <c r="F11" s="501"/>
      <c r="G11" s="500" t="s">
        <v>247</v>
      </c>
      <c r="H11" s="501"/>
    </row>
    <row r="12" spans="1:8" ht="91.5" customHeight="1" x14ac:dyDescent="0.25">
      <c r="A12" s="502" t="s">
        <v>248</v>
      </c>
      <c r="B12" s="503"/>
      <c r="C12" s="504" t="s">
        <v>250</v>
      </c>
      <c r="D12" s="504"/>
      <c r="E12" s="504" t="s">
        <v>251</v>
      </c>
      <c r="F12" s="504"/>
      <c r="G12" s="496" t="s">
        <v>254</v>
      </c>
      <c r="H12" s="497"/>
    </row>
    <row r="13" spans="1:8" ht="106.5" customHeight="1" x14ac:dyDescent="0.25">
      <c r="A13" s="502" t="s">
        <v>249</v>
      </c>
      <c r="B13" s="503"/>
      <c r="C13" s="504" t="s">
        <v>252</v>
      </c>
      <c r="D13" s="504"/>
      <c r="E13" s="504" t="s">
        <v>253</v>
      </c>
      <c r="F13" s="504"/>
      <c r="G13" s="498"/>
      <c r="H13" s="499"/>
    </row>
    <row r="17" spans="7:8" ht="14.4" x14ac:dyDescent="0.3">
      <c r="G17" s="149" t="s">
        <v>259</v>
      </c>
      <c r="H17" s="29" t="s">
        <v>332</v>
      </c>
    </row>
  </sheetData>
  <sheetProtection algorithmName="SHA-512" hashValue="1PrsioZiJDDcw0pYnKfKJltf4wqnq3gqc8chpP+q8qX3xCg9Yt3AZxH/NM5sptqp8sYWMIJU8yYSmOiTKhcRgQ==" saltValue="i1yuswcfcbp8EQsORnOLTA==" spinCount="100000" sheet="1" objects="1" scenarios="1"/>
  <mergeCells count="13">
    <mergeCell ref="F1:H1"/>
    <mergeCell ref="G12:H13"/>
    <mergeCell ref="A2:H2"/>
    <mergeCell ref="A11:B11"/>
    <mergeCell ref="C11:D11"/>
    <mergeCell ref="E11:F11"/>
    <mergeCell ref="G11:H11"/>
    <mergeCell ref="A12:B12"/>
    <mergeCell ref="C12:D12"/>
    <mergeCell ref="E12:F12"/>
    <mergeCell ref="A13:B13"/>
    <mergeCell ref="C13:D13"/>
    <mergeCell ref="E13:F13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showGridLines="0" zoomScaleNormal="100" workbookViewId="0">
      <selection activeCell="H33" sqref="H33"/>
    </sheetView>
  </sheetViews>
  <sheetFormatPr baseColWidth="10" defaultRowHeight="13.2" x14ac:dyDescent="0.25"/>
  <cols>
    <col min="2" max="2" width="12.88671875" customWidth="1"/>
    <col min="3" max="3" width="11.44140625" customWidth="1"/>
    <col min="4" max="4" width="10.88671875" style="31" customWidth="1"/>
    <col min="5" max="5" width="8.5546875" customWidth="1"/>
    <col min="6" max="7" width="8.88671875" customWidth="1"/>
    <col min="8" max="8" width="11.44140625" customWidth="1"/>
    <col min="9" max="9" width="9.109375" customWidth="1"/>
    <col min="10" max="10" width="8.88671875" customWidth="1"/>
  </cols>
  <sheetData>
    <row r="1" spans="1:12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12" ht="144.75" customHeight="1" x14ac:dyDescent="0.25">
      <c r="A2" s="332" t="s">
        <v>271</v>
      </c>
      <c r="B2" s="332"/>
      <c r="C2" s="332"/>
      <c r="D2" s="332"/>
      <c r="E2" s="332"/>
      <c r="F2" s="332"/>
      <c r="G2" s="332"/>
      <c r="H2" s="332"/>
      <c r="I2" s="153"/>
      <c r="J2" s="153"/>
      <c r="K2" s="153"/>
      <c r="L2" s="153"/>
    </row>
    <row r="5" spans="1:12" ht="13.8" x14ac:dyDescent="0.25">
      <c r="A5" s="333" t="s">
        <v>50</v>
      </c>
      <c r="B5" s="333"/>
      <c r="C5" s="334" t="s">
        <v>5</v>
      </c>
      <c r="D5" s="334" t="s">
        <v>147</v>
      </c>
      <c r="E5" s="334"/>
      <c r="F5" s="334"/>
    </row>
    <row r="6" spans="1:12" ht="13.8" x14ac:dyDescent="0.25">
      <c r="B6" s="148"/>
      <c r="C6" s="335">
        <v>151.66999999999999</v>
      </c>
      <c r="D6" s="335" t="s">
        <v>75</v>
      </c>
      <c r="E6" s="334"/>
      <c r="F6" s="334"/>
    </row>
    <row r="9" spans="1:12" ht="30" customHeight="1" x14ac:dyDescent="0.3">
      <c r="A9" s="320" t="s">
        <v>270</v>
      </c>
      <c r="B9" s="321"/>
      <c r="C9" s="322" t="s">
        <v>51</v>
      </c>
      <c r="D9" s="323"/>
      <c r="E9" s="323"/>
      <c r="F9" s="323"/>
      <c r="G9" s="323"/>
      <c r="H9" s="324"/>
    </row>
    <row r="10" spans="1:12" ht="30" customHeight="1" x14ac:dyDescent="0.25">
      <c r="A10" s="325" t="s">
        <v>52</v>
      </c>
      <c r="B10" s="325" t="s">
        <v>53</v>
      </c>
      <c r="C10" s="327" t="s">
        <v>152</v>
      </c>
      <c r="D10" s="328"/>
      <c r="E10" s="329" t="s">
        <v>153</v>
      </c>
      <c r="F10" s="330"/>
      <c r="G10" s="330"/>
      <c r="H10" s="331"/>
    </row>
    <row r="11" spans="1:12" s="22" customFormat="1" ht="44.1" customHeight="1" x14ac:dyDescent="0.25">
      <c r="A11" s="326"/>
      <c r="B11" s="326"/>
      <c r="C11" s="87">
        <v>0.15</v>
      </c>
      <c r="D11" s="87">
        <v>0.2</v>
      </c>
      <c r="E11" s="136">
        <v>0.25</v>
      </c>
      <c r="F11" s="136">
        <v>0.4</v>
      </c>
      <c r="G11" s="136">
        <v>0.45</v>
      </c>
      <c r="H11" s="136">
        <v>0.5</v>
      </c>
    </row>
    <row r="12" spans="1:12" s="14" customFormat="1" ht="21" customHeight="1" x14ac:dyDescent="0.25">
      <c r="A12" s="53">
        <v>6</v>
      </c>
      <c r="B12" s="54">
        <f>A12*C6</f>
        <v>910.02</v>
      </c>
      <c r="C12" s="56">
        <v>150</v>
      </c>
      <c r="D12" s="56">
        <f>B12*D11</f>
        <v>182.00400000000002</v>
      </c>
      <c r="E12" s="56">
        <f>B12*E11</f>
        <v>227.505</v>
      </c>
      <c r="F12" s="56">
        <f>F11*B12</f>
        <v>364.00800000000004</v>
      </c>
      <c r="G12" s="56">
        <f>B12*G11</f>
        <v>409.50900000000001</v>
      </c>
      <c r="H12" s="56">
        <f t="shared" ref="H12:H30" si="0">B12*$H$11</f>
        <v>455.01</v>
      </c>
    </row>
    <row r="13" spans="1:12" s="14" customFormat="1" ht="21" customHeight="1" x14ac:dyDescent="0.25">
      <c r="A13" s="53">
        <v>7</v>
      </c>
      <c r="B13" s="54">
        <f>A13*C6</f>
        <v>1061.6899999999998</v>
      </c>
      <c r="C13" s="56">
        <f>B13*C11</f>
        <v>159.25349999999997</v>
      </c>
      <c r="D13" s="56">
        <f>B13*D11</f>
        <v>212.33799999999997</v>
      </c>
      <c r="E13" s="56">
        <f>B13*E11</f>
        <v>265.42249999999996</v>
      </c>
      <c r="F13" s="56">
        <f>B13*F11</f>
        <v>424.67599999999993</v>
      </c>
      <c r="G13" s="56">
        <f>B13*G11</f>
        <v>477.76049999999992</v>
      </c>
      <c r="H13" s="56">
        <f t="shared" si="0"/>
        <v>530.84499999999991</v>
      </c>
    </row>
    <row r="14" spans="1:12" s="14" customFormat="1" ht="21" customHeight="1" x14ac:dyDescent="0.25">
      <c r="A14" s="53">
        <v>8</v>
      </c>
      <c r="B14" s="54">
        <f>A14*C6</f>
        <v>1213.3599999999999</v>
      </c>
      <c r="C14" s="56">
        <f>B14*C11</f>
        <v>182.00399999999999</v>
      </c>
      <c r="D14" s="56">
        <f>B14*D11</f>
        <v>242.672</v>
      </c>
      <c r="E14" s="56">
        <f>B14*E11</f>
        <v>303.33999999999997</v>
      </c>
      <c r="F14" s="56">
        <f>B14*F11</f>
        <v>485.34399999999999</v>
      </c>
      <c r="G14" s="56">
        <f>B14*G11</f>
        <v>546.01199999999994</v>
      </c>
      <c r="H14" s="56">
        <f t="shared" si="0"/>
        <v>606.67999999999995</v>
      </c>
    </row>
    <row r="15" spans="1:12" s="14" customFormat="1" ht="21" customHeight="1" x14ac:dyDescent="0.25">
      <c r="A15" s="53">
        <v>9</v>
      </c>
      <c r="B15" s="55">
        <f>A15*C6</f>
        <v>1365.03</v>
      </c>
      <c r="C15" s="56">
        <f>B15*C11</f>
        <v>204.75449999999998</v>
      </c>
      <c r="D15" s="56">
        <f>B15*D11</f>
        <v>273.00600000000003</v>
      </c>
      <c r="E15" s="56">
        <f>B15*E11</f>
        <v>341.25749999999999</v>
      </c>
      <c r="F15" s="56">
        <f>B15*F11</f>
        <v>546.01200000000006</v>
      </c>
      <c r="G15" s="56">
        <f>B15*G11</f>
        <v>614.26350000000002</v>
      </c>
      <c r="H15" s="56">
        <f t="shared" si="0"/>
        <v>682.51499999999999</v>
      </c>
    </row>
    <row r="16" spans="1:12" s="14" customFormat="1" ht="21" customHeight="1" x14ac:dyDescent="0.25">
      <c r="A16" s="53">
        <v>10</v>
      </c>
      <c r="B16" s="55">
        <f>A16*C6</f>
        <v>1516.6999999999998</v>
      </c>
      <c r="C16" s="56">
        <f>B16*C11</f>
        <v>227.50499999999997</v>
      </c>
      <c r="D16" s="56">
        <f>B16*D11</f>
        <v>303.33999999999997</v>
      </c>
      <c r="E16" s="56">
        <f>B16*E11</f>
        <v>379.17499999999995</v>
      </c>
      <c r="F16" s="56">
        <f>B16*F11</f>
        <v>606.67999999999995</v>
      </c>
      <c r="G16" s="56">
        <f>B16*G11</f>
        <v>682.51499999999999</v>
      </c>
      <c r="H16" s="56">
        <f t="shared" si="0"/>
        <v>758.34999999999991</v>
      </c>
    </row>
    <row r="17" spans="1:8" s="14" customFormat="1" ht="21" customHeight="1" x14ac:dyDescent="0.25">
      <c r="A17" s="53">
        <v>11</v>
      </c>
      <c r="B17" s="55">
        <f>A17*C6</f>
        <v>1668.37</v>
      </c>
      <c r="C17" s="56">
        <f>B17*C11</f>
        <v>250.25549999999998</v>
      </c>
      <c r="D17" s="56">
        <f>B17*D11</f>
        <v>333.67399999999998</v>
      </c>
      <c r="E17" s="56">
        <f>B17*E11</f>
        <v>417.09249999999997</v>
      </c>
      <c r="F17" s="56">
        <f>B17*F11</f>
        <v>667.34799999999996</v>
      </c>
      <c r="G17" s="56">
        <f>B17*G11</f>
        <v>750.76649999999995</v>
      </c>
      <c r="H17" s="56">
        <f t="shared" si="0"/>
        <v>834.18499999999995</v>
      </c>
    </row>
    <row r="18" spans="1:8" s="14" customFormat="1" ht="21" customHeight="1" x14ac:dyDescent="0.25">
      <c r="A18" s="53">
        <v>12</v>
      </c>
      <c r="B18" s="55">
        <f>A18*C6</f>
        <v>1820.04</v>
      </c>
      <c r="C18" s="56">
        <f>B18*C11</f>
        <v>273.00599999999997</v>
      </c>
      <c r="D18" s="56">
        <f>B18*D11</f>
        <v>364.00800000000004</v>
      </c>
      <c r="E18" s="56">
        <f>B18*E11</f>
        <v>455.01</v>
      </c>
      <c r="F18" s="56">
        <f>B18*F11</f>
        <v>728.01600000000008</v>
      </c>
      <c r="G18" s="56">
        <f>B18*G11</f>
        <v>819.01800000000003</v>
      </c>
      <c r="H18" s="56">
        <f t="shared" si="0"/>
        <v>910.02</v>
      </c>
    </row>
    <row r="19" spans="1:8" s="14" customFormat="1" ht="21" customHeight="1" x14ac:dyDescent="0.25">
      <c r="A19" s="53">
        <v>13</v>
      </c>
      <c r="B19" s="55">
        <f>A19*C6</f>
        <v>1971.7099999999998</v>
      </c>
      <c r="C19" s="56">
        <f>B19*C11</f>
        <v>295.75649999999996</v>
      </c>
      <c r="D19" s="56">
        <f>B19*D11</f>
        <v>394.34199999999998</v>
      </c>
      <c r="E19" s="56">
        <f>B19*E11</f>
        <v>492.92749999999995</v>
      </c>
      <c r="F19" s="56">
        <f>B19*F11</f>
        <v>788.68399999999997</v>
      </c>
      <c r="G19" s="56">
        <f>B19*G11</f>
        <v>887.26949999999988</v>
      </c>
      <c r="H19" s="56">
        <f t="shared" si="0"/>
        <v>985.8549999999999</v>
      </c>
    </row>
    <row r="20" spans="1:8" s="14" customFormat="1" ht="21" customHeight="1" x14ac:dyDescent="0.25">
      <c r="A20" s="53">
        <v>14</v>
      </c>
      <c r="B20" s="55">
        <f>A20*C6</f>
        <v>2123.3799999999997</v>
      </c>
      <c r="C20" s="56">
        <f>B20*C11</f>
        <v>318.50699999999995</v>
      </c>
      <c r="D20" s="56">
        <f>B20*D11</f>
        <v>424.67599999999993</v>
      </c>
      <c r="E20" s="56">
        <f>B20*E11</f>
        <v>530.84499999999991</v>
      </c>
      <c r="F20" s="56">
        <f>B20*F11</f>
        <v>849.35199999999986</v>
      </c>
      <c r="G20" s="56">
        <f>B20*G11</f>
        <v>955.52099999999984</v>
      </c>
      <c r="H20" s="56">
        <f t="shared" si="0"/>
        <v>1061.6899999999998</v>
      </c>
    </row>
    <row r="21" spans="1:8" s="14" customFormat="1" ht="21" customHeight="1" x14ac:dyDescent="0.25">
      <c r="A21" s="53">
        <v>15</v>
      </c>
      <c r="B21" s="55">
        <f>A21*C6</f>
        <v>2275.0499999999997</v>
      </c>
      <c r="C21" s="56">
        <f>B21*C11</f>
        <v>341.25749999999994</v>
      </c>
      <c r="D21" s="56">
        <f>B21*D11</f>
        <v>455.01</v>
      </c>
      <c r="E21" s="56">
        <f>B21*E11</f>
        <v>568.76249999999993</v>
      </c>
      <c r="F21" s="56">
        <f>B21*F11</f>
        <v>910.02</v>
      </c>
      <c r="G21" s="56">
        <f>B21*G11</f>
        <v>1023.7724999999999</v>
      </c>
      <c r="H21" s="56">
        <f t="shared" si="0"/>
        <v>1137.5249999999999</v>
      </c>
    </row>
    <row r="22" spans="1:8" s="14" customFormat="1" ht="21" customHeight="1" x14ac:dyDescent="0.25">
      <c r="A22" s="53">
        <v>16</v>
      </c>
      <c r="B22" s="55">
        <f>A22*C6</f>
        <v>2426.7199999999998</v>
      </c>
      <c r="C22" s="56">
        <f>B22*C11</f>
        <v>364.00799999999998</v>
      </c>
      <c r="D22" s="56">
        <f>B22*D11</f>
        <v>485.34399999999999</v>
      </c>
      <c r="E22" s="56">
        <f>B22*E11</f>
        <v>606.67999999999995</v>
      </c>
      <c r="F22" s="56">
        <f>B22*F11</f>
        <v>970.68799999999999</v>
      </c>
      <c r="G22" s="56">
        <f>B22*G11</f>
        <v>1092.0239999999999</v>
      </c>
      <c r="H22" s="56">
        <f t="shared" si="0"/>
        <v>1213.3599999999999</v>
      </c>
    </row>
    <row r="23" spans="1:8" s="14" customFormat="1" ht="21" customHeight="1" x14ac:dyDescent="0.25">
      <c r="A23" s="53">
        <v>17</v>
      </c>
      <c r="B23" s="55">
        <f>A23*C6</f>
        <v>2578.39</v>
      </c>
      <c r="C23" s="56">
        <f>B23*C11</f>
        <v>386.75849999999997</v>
      </c>
      <c r="D23" s="56">
        <f>B23*D11</f>
        <v>515.678</v>
      </c>
      <c r="E23" s="56">
        <f>B23*E11</f>
        <v>644.59749999999997</v>
      </c>
      <c r="F23" s="56">
        <f>B23*F11</f>
        <v>1031.356</v>
      </c>
      <c r="G23" s="56">
        <f>B23*G11</f>
        <v>1160.2755</v>
      </c>
      <c r="H23" s="56">
        <f t="shared" si="0"/>
        <v>1289.1949999999999</v>
      </c>
    </row>
    <row r="24" spans="1:8" s="14" customFormat="1" ht="21" customHeight="1" x14ac:dyDescent="0.25">
      <c r="A24" s="53">
        <v>18</v>
      </c>
      <c r="B24" s="55">
        <f>A24*C6</f>
        <v>2730.06</v>
      </c>
      <c r="C24" s="56">
        <f>B24*C11</f>
        <v>409.50899999999996</v>
      </c>
      <c r="D24" s="56">
        <f>B24*D11</f>
        <v>546.01200000000006</v>
      </c>
      <c r="E24" s="56">
        <f>B24*E11</f>
        <v>682.51499999999999</v>
      </c>
      <c r="F24" s="56">
        <f>B24*F11</f>
        <v>1092.0240000000001</v>
      </c>
      <c r="G24" s="56">
        <f>B24*G11</f>
        <v>1228.527</v>
      </c>
      <c r="H24" s="56">
        <f t="shared" si="0"/>
        <v>1365.03</v>
      </c>
    </row>
    <row r="25" spans="1:8" s="14" customFormat="1" ht="21" customHeight="1" x14ac:dyDescent="0.25">
      <c r="A25" s="53">
        <v>19</v>
      </c>
      <c r="B25" s="55">
        <f>A25*C6</f>
        <v>2881.7299999999996</v>
      </c>
      <c r="C25" s="56">
        <f>B25*C11</f>
        <v>432.25949999999995</v>
      </c>
      <c r="D25" s="56">
        <f>B25*D11</f>
        <v>576.34599999999989</v>
      </c>
      <c r="E25" s="56">
        <f>B25*E11</f>
        <v>720.43249999999989</v>
      </c>
      <c r="F25" s="56">
        <f>B25*F11</f>
        <v>1152.6919999999998</v>
      </c>
      <c r="G25" s="56">
        <f>B25*G11</f>
        <v>1296.7784999999999</v>
      </c>
      <c r="H25" s="56">
        <f t="shared" si="0"/>
        <v>1440.8649999999998</v>
      </c>
    </row>
    <row r="26" spans="1:8" s="14" customFormat="1" ht="21" customHeight="1" x14ac:dyDescent="0.25">
      <c r="A26" s="53">
        <v>20</v>
      </c>
      <c r="B26" s="55">
        <f>A26*C6</f>
        <v>3033.3999999999996</v>
      </c>
      <c r="C26" s="56">
        <f>B26*C11</f>
        <v>455.00999999999993</v>
      </c>
      <c r="D26" s="56">
        <f>B26*D11</f>
        <v>606.67999999999995</v>
      </c>
      <c r="E26" s="56">
        <f>B26*E11</f>
        <v>758.34999999999991</v>
      </c>
      <c r="F26" s="56">
        <f>B26*F11</f>
        <v>1213.3599999999999</v>
      </c>
      <c r="G26" s="56">
        <f>B26*G11</f>
        <v>1365.03</v>
      </c>
      <c r="H26" s="56">
        <f t="shared" si="0"/>
        <v>1516.6999999999998</v>
      </c>
    </row>
    <row r="27" spans="1:8" s="14" customFormat="1" ht="21" customHeight="1" x14ac:dyDescent="0.25">
      <c r="A27" s="53">
        <v>21</v>
      </c>
      <c r="B27" s="55">
        <f>A27*C6</f>
        <v>3185.0699999999997</v>
      </c>
      <c r="C27" s="56">
        <f>B27*C11</f>
        <v>477.76049999999992</v>
      </c>
      <c r="D27" s="56">
        <f>B27*D11</f>
        <v>637.01400000000001</v>
      </c>
      <c r="E27" s="56">
        <f>B27*E11</f>
        <v>796.26749999999993</v>
      </c>
      <c r="F27" s="56">
        <f>B27*F11</f>
        <v>1274.028</v>
      </c>
      <c r="G27" s="56">
        <f>B27*G11</f>
        <v>1433.2814999999998</v>
      </c>
      <c r="H27" s="56">
        <f t="shared" si="0"/>
        <v>1592.5349999999999</v>
      </c>
    </row>
    <row r="28" spans="1:8" s="14" customFormat="1" ht="21" customHeight="1" x14ac:dyDescent="0.25">
      <c r="A28" s="53">
        <v>22</v>
      </c>
      <c r="B28" s="55">
        <f>A28*C6</f>
        <v>3336.74</v>
      </c>
      <c r="C28" s="56">
        <f>B28*C11</f>
        <v>500.51099999999997</v>
      </c>
      <c r="D28" s="56">
        <f>B28*D11</f>
        <v>667.34799999999996</v>
      </c>
      <c r="E28" s="56">
        <f>B28*E11</f>
        <v>834.18499999999995</v>
      </c>
      <c r="F28" s="56">
        <f>B28*F11</f>
        <v>1334.6959999999999</v>
      </c>
      <c r="G28" s="56">
        <f>B28*G11</f>
        <v>1501.5329999999999</v>
      </c>
      <c r="H28" s="56">
        <f t="shared" si="0"/>
        <v>1668.37</v>
      </c>
    </row>
    <row r="29" spans="1:8" s="14" customFormat="1" ht="21" customHeight="1" x14ac:dyDescent="0.25">
      <c r="A29" s="53">
        <v>23</v>
      </c>
      <c r="B29" s="55">
        <f>A29*C6</f>
        <v>3488.41</v>
      </c>
      <c r="C29" s="56">
        <f>B29*C11</f>
        <v>523.26149999999996</v>
      </c>
      <c r="D29" s="56">
        <f>B29*D11</f>
        <v>697.68200000000002</v>
      </c>
      <c r="E29" s="56">
        <f>B29*E11</f>
        <v>872.10249999999996</v>
      </c>
      <c r="F29" s="56">
        <f>B29*F11</f>
        <v>1395.364</v>
      </c>
      <c r="G29" s="56">
        <f>B29*G11</f>
        <v>1569.7845</v>
      </c>
      <c r="H29" s="56">
        <f t="shared" si="0"/>
        <v>1744.2049999999999</v>
      </c>
    </row>
    <row r="30" spans="1:8" s="14" customFormat="1" ht="21" customHeight="1" x14ac:dyDescent="0.25">
      <c r="A30" s="53">
        <v>24</v>
      </c>
      <c r="B30" s="55">
        <f>A30*C6</f>
        <v>3640.08</v>
      </c>
      <c r="C30" s="56">
        <f>B30*C11</f>
        <v>546.01199999999994</v>
      </c>
      <c r="D30" s="56">
        <f>B30*D11</f>
        <v>728.01600000000008</v>
      </c>
      <c r="E30" s="56">
        <f>B30*E11</f>
        <v>910.02</v>
      </c>
      <c r="F30" s="56">
        <f>B30*F11</f>
        <v>1456.0320000000002</v>
      </c>
      <c r="G30" s="56">
        <f>B30*G11</f>
        <v>1638.0360000000001</v>
      </c>
      <c r="H30" s="56">
        <f t="shared" si="0"/>
        <v>1820.04</v>
      </c>
    </row>
    <row r="32" spans="1:8" x14ac:dyDescent="0.25">
      <c r="C32" s="37"/>
    </row>
    <row r="33" spans="3:8" ht="14.4" x14ac:dyDescent="0.3">
      <c r="C33" s="37"/>
      <c r="G33" s="149" t="s">
        <v>211</v>
      </c>
      <c r="H33" s="29" t="s">
        <v>332</v>
      </c>
    </row>
    <row r="34" spans="3:8" x14ac:dyDescent="0.25">
      <c r="C34" s="37"/>
    </row>
  </sheetData>
  <sheetProtection algorithmName="SHA-512" hashValue="M6R6GTZ4jrtTZiv8gvOszf75GcwMTIl+aZcBeJBmeXaCSdR+kAMI/jPIHFDNDgR+JpEh9PMUKkd/2FWdK0c/ow==" saltValue="+0jmAsx78r4IR6guTcsHRA==" spinCount="100000" sheet="1" objects="1" scenarios="1"/>
  <mergeCells count="13">
    <mergeCell ref="F1:H1"/>
    <mergeCell ref="A9:B9"/>
    <mergeCell ref="C9:H9"/>
    <mergeCell ref="A10:A11"/>
    <mergeCell ref="B10:B11"/>
    <mergeCell ref="C10:D10"/>
    <mergeCell ref="E10:H10"/>
    <mergeCell ref="A2:H2"/>
    <mergeCell ref="A5:B5"/>
    <mergeCell ref="C5:D5"/>
    <mergeCell ref="E5:F5"/>
    <mergeCell ref="C6:D6"/>
    <mergeCell ref="E6:F6"/>
  </mergeCells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showGridLines="0" zoomScaleNormal="100" workbookViewId="0">
      <selection activeCell="H16" sqref="H16"/>
    </sheetView>
  </sheetViews>
  <sheetFormatPr baseColWidth="10" defaultRowHeight="13.2" x14ac:dyDescent="0.25"/>
  <cols>
    <col min="1" max="1" width="14.109375" customWidth="1"/>
    <col min="3" max="3" width="15.5546875" customWidth="1"/>
    <col min="5" max="5" width="12" bestFit="1" customWidth="1"/>
    <col min="6" max="6" width="7.109375" customWidth="1"/>
    <col min="7" max="7" width="12" bestFit="1" customWidth="1"/>
    <col min="8" max="8" width="15.88671875" customWidth="1"/>
  </cols>
  <sheetData>
    <row r="1" spans="1:12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12" ht="63" customHeight="1" x14ac:dyDescent="0.25">
      <c r="A2" s="336" t="s">
        <v>212</v>
      </c>
      <c r="B2" s="336"/>
      <c r="C2" s="336"/>
      <c r="D2" s="336"/>
      <c r="E2" s="336"/>
      <c r="F2" s="336"/>
      <c r="G2" s="336"/>
      <c r="H2" s="336"/>
      <c r="I2" s="153"/>
      <c r="J2" s="153"/>
      <c r="K2" s="153"/>
      <c r="L2" s="153"/>
    </row>
    <row r="5" spans="1:12" ht="13.8" x14ac:dyDescent="0.25">
      <c r="A5" s="339" t="s">
        <v>18</v>
      </c>
      <c r="B5" s="339"/>
      <c r="C5" s="334">
        <v>44197</v>
      </c>
      <c r="D5" s="334"/>
      <c r="E5" s="18"/>
    </row>
    <row r="6" spans="1:12" ht="13.8" x14ac:dyDescent="0.25">
      <c r="A6" s="339" t="s">
        <v>17</v>
      </c>
      <c r="B6" s="339"/>
      <c r="C6" s="166" t="s">
        <v>25</v>
      </c>
      <c r="D6" s="166"/>
      <c r="E6" s="166"/>
    </row>
    <row r="7" spans="1:12" ht="13.8" x14ac:dyDescent="0.25">
      <c r="A7" s="34"/>
      <c r="B7" s="34"/>
      <c r="C7" s="147"/>
      <c r="D7" s="147"/>
      <c r="E7" s="147"/>
    </row>
    <row r="8" spans="1:12" ht="13.8" x14ac:dyDescent="0.25">
      <c r="A8" s="34"/>
      <c r="B8" s="34"/>
      <c r="C8" s="147"/>
      <c r="D8" s="147"/>
      <c r="E8" s="147"/>
    </row>
    <row r="9" spans="1:12" ht="13.8" x14ac:dyDescent="0.25">
      <c r="A9" s="34" t="s">
        <v>190</v>
      </c>
      <c r="B9" s="34"/>
      <c r="C9" s="165">
        <v>1589.47</v>
      </c>
      <c r="D9" s="29"/>
      <c r="E9" s="29"/>
    </row>
    <row r="10" spans="1:12" ht="12" customHeight="1" x14ac:dyDescent="0.25">
      <c r="A10" s="34"/>
      <c r="B10" s="34"/>
    </row>
    <row r="11" spans="1:12" ht="38.4" customHeight="1" x14ac:dyDescent="0.25">
      <c r="A11" s="75" t="s">
        <v>95</v>
      </c>
      <c r="B11" s="340" t="s">
        <v>36</v>
      </c>
      <c r="C11" s="340"/>
      <c r="D11" s="340" t="s">
        <v>96</v>
      </c>
      <c r="E11" s="340"/>
      <c r="F11" s="341" t="s">
        <v>97</v>
      </c>
      <c r="G11" s="341"/>
      <c r="H11" s="341"/>
    </row>
    <row r="12" spans="1:12" ht="38.4" customHeight="1" x14ac:dyDescent="0.25">
      <c r="A12" s="75" t="s">
        <v>31</v>
      </c>
      <c r="B12" s="172" t="s">
        <v>98</v>
      </c>
      <c r="C12" s="232">
        <f>C9*65%</f>
        <v>1033.1555000000001</v>
      </c>
      <c r="D12" s="172" t="s">
        <v>99</v>
      </c>
      <c r="E12" s="232">
        <f>C9*80%</f>
        <v>1271.576</v>
      </c>
      <c r="F12" s="337" t="s">
        <v>100</v>
      </c>
      <c r="G12" s="338">
        <f>C9</f>
        <v>1589.47</v>
      </c>
      <c r="H12" s="337" t="s">
        <v>101</v>
      </c>
    </row>
    <row r="13" spans="1:12" ht="63.75" customHeight="1" x14ac:dyDescent="0.25">
      <c r="A13" s="75" t="s">
        <v>30</v>
      </c>
      <c r="B13" s="172" t="s">
        <v>102</v>
      </c>
      <c r="C13" s="232">
        <f>C9*55%</f>
        <v>874.20850000000007</v>
      </c>
      <c r="D13" s="172" t="s">
        <v>103</v>
      </c>
      <c r="E13" s="232">
        <f>C9*70%</f>
        <v>1112.6289999999999</v>
      </c>
      <c r="F13" s="337"/>
      <c r="G13" s="338"/>
      <c r="H13" s="337"/>
    </row>
    <row r="15" spans="1:12" ht="17.399999999999999" x14ac:dyDescent="0.25">
      <c r="A15" s="61"/>
      <c r="C15" s="39"/>
    </row>
    <row r="16" spans="1:12" ht="14.4" x14ac:dyDescent="0.3">
      <c r="G16" s="149" t="s">
        <v>257</v>
      </c>
      <c r="H16" s="29" t="s">
        <v>332</v>
      </c>
    </row>
  </sheetData>
  <sheetProtection algorithmName="SHA-512" hashValue="CLtYsklm2wbqc+LkxxgBUikDEsVxmJrTGtrWWzZS6nhf6IPZK6N/Ye+OVFx+Kv8zszvyxc1P90XIZE4EJAx0/Q==" saltValue="ncuP6HsM0sJXExDI6TXDpw==" spinCount="100000" sheet="1" objects="1" scenarios="1"/>
  <mergeCells count="11">
    <mergeCell ref="F1:H1"/>
    <mergeCell ref="A2:H2"/>
    <mergeCell ref="F12:F13"/>
    <mergeCell ref="G12:G13"/>
    <mergeCell ref="H12:H13"/>
    <mergeCell ref="A5:B5"/>
    <mergeCell ref="A6:B6"/>
    <mergeCell ref="C5:D5"/>
    <mergeCell ref="B11:C11"/>
    <mergeCell ref="D11:E11"/>
    <mergeCell ref="F11:H11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showGridLines="0" topLeftCell="A7" zoomScale="80" zoomScaleNormal="80" zoomScalePageLayoutView="85" workbookViewId="0">
      <selection activeCell="H36" sqref="H36"/>
    </sheetView>
  </sheetViews>
  <sheetFormatPr baseColWidth="10" defaultRowHeight="13.2" x14ac:dyDescent="0.25"/>
  <cols>
    <col min="1" max="1" width="9" customWidth="1"/>
    <col min="2" max="2" width="13.88671875" customWidth="1"/>
    <col min="3" max="6" width="14.5546875" customWidth="1"/>
    <col min="7" max="7" width="18.33203125" customWidth="1"/>
  </cols>
  <sheetData>
    <row r="1" spans="1:12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12" ht="60" customHeight="1" x14ac:dyDescent="0.25">
      <c r="A2" s="342" t="s">
        <v>215</v>
      </c>
      <c r="B2" s="342"/>
      <c r="C2" s="342"/>
      <c r="D2" s="342"/>
      <c r="E2" s="342"/>
      <c r="F2" s="342"/>
      <c r="G2" s="342"/>
      <c r="H2" s="342"/>
      <c r="I2" s="155"/>
      <c r="J2" s="155"/>
      <c r="K2" s="155"/>
      <c r="L2" s="155"/>
    </row>
    <row r="3" spans="1:12" ht="16.5" customHeight="1" x14ac:dyDescent="0.25">
      <c r="A3" s="350" t="s">
        <v>217</v>
      </c>
      <c r="B3" s="350"/>
      <c r="C3" s="350"/>
      <c r="D3" s="350"/>
      <c r="E3" s="350"/>
      <c r="F3" s="350"/>
      <c r="G3" s="350"/>
      <c r="H3" s="350"/>
      <c r="I3" s="155"/>
      <c r="J3" s="155"/>
      <c r="K3" s="155"/>
      <c r="L3" s="155"/>
    </row>
    <row r="4" spans="1:12" ht="16.5" customHeight="1" x14ac:dyDescent="0.25">
      <c r="A4" s="350" t="s">
        <v>218</v>
      </c>
      <c r="B4" s="350"/>
      <c r="C4" s="350"/>
      <c r="D4" s="350"/>
      <c r="E4" s="350"/>
      <c r="F4" s="350"/>
      <c r="G4" s="350"/>
      <c r="H4" s="350"/>
      <c r="I4" s="155"/>
      <c r="J4" s="155"/>
      <c r="K4" s="155"/>
      <c r="L4" s="155"/>
    </row>
    <row r="5" spans="1:12" ht="16.5" customHeight="1" x14ac:dyDescent="0.25">
      <c r="A5" s="350" t="s">
        <v>219</v>
      </c>
      <c r="B5" s="350"/>
      <c r="C5" s="350"/>
      <c r="D5" s="350"/>
      <c r="E5" s="350"/>
      <c r="F5" s="350"/>
      <c r="G5" s="350"/>
      <c r="H5" s="350"/>
      <c r="I5" s="155"/>
      <c r="J5" s="155"/>
      <c r="K5" s="155"/>
      <c r="L5" s="155"/>
    </row>
    <row r="6" spans="1:12" ht="19.5" customHeight="1" x14ac:dyDescent="0.25"/>
    <row r="7" spans="1:12" s="18" customFormat="1" ht="14.25" customHeight="1" x14ac:dyDescent="0.25">
      <c r="A7" s="349" t="s">
        <v>17</v>
      </c>
      <c r="B7" s="349"/>
      <c r="C7" s="163" t="s">
        <v>25</v>
      </c>
      <c r="D7" s="163"/>
      <c r="E7" s="19"/>
    </row>
    <row r="8" spans="1:12" s="18" customFormat="1" ht="20.100000000000001" customHeight="1" x14ac:dyDescent="0.25">
      <c r="A8" s="163" t="s">
        <v>190</v>
      </c>
      <c r="B8" s="164"/>
      <c r="C8" s="165">
        <v>1589.47</v>
      </c>
      <c r="D8" s="163"/>
      <c r="E8" s="74"/>
    </row>
    <row r="9" spans="1:12" x14ac:dyDescent="0.25">
      <c r="D9" s="29"/>
    </row>
    <row r="10" spans="1:12" s="4" customFormat="1" ht="20.100000000000001" customHeight="1" x14ac:dyDescent="0.25">
      <c r="A10" s="2"/>
      <c r="B10" s="14"/>
      <c r="C10" s="14"/>
      <c r="D10" s="14"/>
      <c r="E10" s="14"/>
    </row>
    <row r="11" spans="1:12" s="6" customFormat="1" ht="20.100000000000001" hidden="1" customHeight="1" x14ac:dyDescent="0.25">
      <c r="A11" s="5"/>
      <c r="B11" s="16"/>
      <c r="C11" s="15" t="s">
        <v>4</v>
      </c>
      <c r="D11" s="17"/>
      <c r="E11" s="15" t="s">
        <v>3</v>
      </c>
    </row>
    <row r="12" spans="1:12" s="6" customFormat="1" ht="20.100000000000001" hidden="1" customHeight="1" x14ac:dyDescent="0.25">
      <c r="A12" s="5"/>
      <c r="B12" s="3"/>
      <c r="C12" s="1">
        <v>0.55000000000000004</v>
      </c>
      <c r="D12" s="1"/>
      <c r="E12" s="1">
        <v>0.7</v>
      </c>
    </row>
    <row r="13" spans="1:12" s="14" customFormat="1" ht="22.5" hidden="1" customHeight="1" x14ac:dyDescent="0.25">
      <c r="A13" s="8" t="s">
        <v>5</v>
      </c>
      <c r="B13" s="9"/>
      <c r="C13" s="7" t="e">
        <f>SUM(#REF!*C12)</f>
        <v>#REF!</v>
      </c>
      <c r="D13" s="7"/>
      <c r="E13" s="7" t="e">
        <f>SUM(#REF!*E12)</f>
        <v>#REF!</v>
      </c>
      <c r="G13" s="14" t="s">
        <v>177</v>
      </c>
    </row>
    <row r="14" spans="1:12" s="14" customFormat="1" ht="20.100000000000001" hidden="1" customHeight="1" x14ac:dyDescent="0.25">
      <c r="A14" s="13" t="s">
        <v>6</v>
      </c>
      <c r="B14" s="11"/>
      <c r="C14" s="12"/>
      <c r="D14" s="12"/>
      <c r="E14" s="12"/>
    </row>
    <row r="15" spans="1:12" s="14" customFormat="1" ht="20.100000000000001" hidden="1" customHeight="1" x14ac:dyDescent="0.25">
      <c r="A15" s="13" t="s">
        <v>6</v>
      </c>
      <c r="B15" s="11"/>
      <c r="C15" s="12"/>
      <c r="D15" s="12"/>
      <c r="E15" s="12"/>
    </row>
    <row r="16" spans="1:12" s="10" customFormat="1" ht="20.100000000000001" hidden="1" customHeight="1" x14ac:dyDescent="0.25">
      <c r="A16" s="14"/>
      <c r="B16" s="14"/>
      <c r="C16" s="14"/>
      <c r="D16" s="14"/>
      <c r="E16" s="14"/>
    </row>
    <row r="17" spans="1:7" s="10" customFormat="1" ht="30" customHeight="1" x14ac:dyDescent="0.25">
      <c r="A17" s="346" t="s">
        <v>1</v>
      </c>
      <c r="B17" s="346" t="s">
        <v>12</v>
      </c>
      <c r="C17" s="343" t="s">
        <v>23</v>
      </c>
      <c r="D17" s="344"/>
      <c r="E17" s="344"/>
      <c r="F17" s="344"/>
      <c r="G17" s="351"/>
    </row>
    <row r="18" spans="1:7" s="14" customFormat="1" ht="36.75" customHeight="1" x14ac:dyDescent="0.25">
      <c r="A18" s="347"/>
      <c r="B18" s="347"/>
      <c r="C18" s="343" t="s">
        <v>278</v>
      </c>
      <c r="D18" s="344"/>
      <c r="E18" s="343" t="s">
        <v>45</v>
      </c>
      <c r="F18" s="344"/>
      <c r="G18" s="236" t="s">
        <v>275</v>
      </c>
    </row>
    <row r="19" spans="1:7" s="14" customFormat="1" ht="30" customHeight="1" x14ac:dyDescent="0.25">
      <c r="A19" s="348"/>
      <c r="B19" s="348"/>
      <c r="C19" s="237" t="s">
        <v>276</v>
      </c>
      <c r="D19" s="237" t="s">
        <v>277</v>
      </c>
      <c r="E19" s="237" t="s">
        <v>276</v>
      </c>
      <c r="F19" s="237" t="s">
        <v>277</v>
      </c>
      <c r="G19" s="237" t="s">
        <v>21</v>
      </c>
    </row>
    <row r="20" spans="1:7" s="14" customFormat="1" ht="30" customHeight="1" x14ac:dyDescent="0.25">
      <c r="A20" s="237">
        <v>1</v>
      </c>
      <c r="B20" s="235">
        <v>19073.64</v>
      </c>
      <c r="C20" s="238">
        <f>+B20*55%/12</f>
        <v>874.20850000000007</v>
      </c>
      <c r="D20" s="238">
        <f>+B20*65%/12</f>
        <v>1033.1555000000001</v>
      </c>
      <c r="E20" s="238">
        <f>+B20*70%/12</f>
        <v>1112.6289999999999</v>
      </c>
      <c r="F20" s="238">
        <f>+B20*80%/12</f>
        <v>1271.576</v>
      </c>
      <c r="G20" s="238">
        <f>IF(B20*85%/12&gt;=C8,B20*85%/12,C8)</f>
        <v>1589.47</v>
      </c>
    </row>
    <row r="21" spans="1:7" s="14" customFormat="1" ht="30" customHeight="1" x14ac:dyDescent="0.25">
      <c r="A21" s="237">
        <v>2</v>
      </c>
      <c r="B21" s="235">
        <v>20312</v>
      </c>
      <c r="C21" s="238">
        <f t="shared" ref="C21:C26" si="0">B21*55%/12</f>
        <v>930.9666666666667</v>
      </c>
      <c r="D21" s="238">
        <f t="shared" ref="D21:D26" si="1">B21*65%/12</f>
        <v>1100.2333333333333</v>
      </c>
      <c r="E21" s="238">
        <f t="shared" ref="E21:E26" si="2">B21*70%/12</f>
        <v>1184.8666666666666</v>
      </c>
      <c r="F21" s="238">
        <f t="shared" ref="F21:F26" si="3">B21*80%/12</f>
        <v>1354.1333333333334</v>
      </c>
      <c r="G21" s="238">
        <f>IF(B21*85%/12&gt;=C8,B21*85%/12,C8)</f>
        <v>1589.47</v>
      </c>
    </row>
    <row r="22" spans="1:7" s="14" customFormat="1" ht="30" customHeight="1" x14ac:dyDescent="0.25">
      <c r="A22" s="237">
        <v>3</v>
      </c>
      <c r="B22" s="235">
        <v>21993</v>
      </c>
      <c r="C22" s="238">
        <f t="shared" si="0"/>
        <v>1008.0125000000002</v>
      </c>
      <c r="D22" s="238">
        <f t="shared" si="1"/>
        <v>1191.2875000000001</v>
      </c>
      <c r="E22" s="238">
        <f t="shared" si="2"/>
        <v>1282.925</v>
      </c>
      <c r="F22" s="238">
        <f t="shared" si="3"/>
        <v>1466.2</v>
      </c>
      <c r="G22" s="238">
        <f>IF(B22*85%/12&gt;=C8,B22*85%/12,C8)</f>
        <v>1589.47</v>
      </c>
    </row>
    <row r="23" spans="1:7" s="14" customFormat="1" ht="30" customHeight="1" x14ac:dyDescent="0.25">
      <c r="A23" s="237">
        <v>4</v>
      </c>
      <c r="B23" s="235">
        <v>24569</v>
      </c>
      <c r="C23" s="238">
        <f t="shared" si="0"/>
        <v>1126.0791666666667</v>
      </c>
      <c r="D23" s="238">
        <f t="shared" si="1"/>
        <v>1330.8208333333334</v>
      </c>
      <c r="E23" s="238">
        <f t="shared" si="2"/>
        <v>1433.1916666666666</v>
      </c>
      <c r="F23" s="238">
        <f t="shared" si="3"/>
        <v>1637.9333333333334</v>
      </c>
      <c r="G23" s="238">
        <f>IF(B23*85%/12&gt;=C8,B23*85%/12,C8)</f>
        <v>1740.3041666666666</v>
      </c>
    </row>
    <row r="24" spans="1:7" s="14" customFormat="1" ht="30" customHeight="1" x14ac:dyDescent="0.25">
      <c r="A24" s="237">
        <v>5</v>
      </c>
      <c r="B24" s="235">
        <v>28980</v>
      </c>
      <c r="C24" s="238">
        <f t="shared" si="0"/>
        <v>1328.2500000000002</v>
      </c>
      <c r="D24" s="238">
        <f t="shared" si="1"/>
        <v>1569.75</v>
      </c>
      <c r="E24" s="238">
        <f t="shared" si="2"/>
        <v>1690.5</v>
      </c>
      <c r="F24" s="238">
        <f t="shared" si="3"/>
        <v>1932</v>
      </c>
      <c r="G24" s="238">
        <f>IF(B24*85%/12&gt;=C8,B24*85%/12,C8)</f>
        <v>2052.75</v>
      </c>
    </row>
    <row r="25" spans="1:7" s="14" customFormat="1" ht="30" customHeight="1" x14ac:dyDescent="0.25">
      <c r="A25" s="237" t="s">
        <v>149</v>
      </c>
      <c r="B25" s="235">
        <v>33388</v>
      </c>
      <c r="C25" s="238">
        <f t="shared" si="0"/>
        <v>1530.2833333333335</v>
      </c>
      <c r="D25" s="238">
        <f t="shared" si="1"/>
        <v>1808.5166666666667</v>
      </c>
      <c r="E25" s="238">
        <f t="shared" si="2"/>
        <v>1947.6333333333332</v>
      </c>
      <c r="F25" s="238">
        <f t="shared" si="3"/>
        <v>2225.8666666666668</v>
      </c>
      <c r="G25" s="238">
        <f>IF(B25*85%/12&gt;=C8,B25*85%/12,C8)</f>
        <v>2364.9833333333331</v>
      </c>
    </row>
    <row r="26" spans="1:7" s="14" customFormat="1" ht="30" customHeight="1" x14ac:dyDescent="0.25">
      <c r="A26" s="237">
        <v>6</v>
      </c>
      <c r="B26" s="235">
        <v>37796</v>
      </c>
      <c r="C26" s="238">
        <f t="shared" si="0"/>
        <v>1732.3166666666668</v>
      </c>
      <c r="D26" s="238">
        <f t="shared" si="1"/>
        <v>2047.2833333333335</v>
      </c>
      <c r="E26" s="238">
        <f t="shared" si="2"/>
        <v>2204.7666666666664</v>
      </c>
      <c r="F26" s="238">
        <f t="shared" si="3"/>
        <v>2519.7333333333336</v>
      </c>
      <c r="G26" s="238">
        <f>IF(B26*85%/12&gt;=C8,B26*85%/12,C8)</f>
        <v>2677.2166666666667</v>
      </c>
    </row>
    <row r="27" spans="1:7" ht="27.6" customHeight="1" x14ac:dyDescent="0.25">
      <c r="A27" s="345"/>
      <c r="B27" s="345"/>
      <c r="C27" s="345"/>
      <c r="D27" s="345"/>
      <c r="E27" s="345"/>
      <c r="F27" s="345"/>
      <c r="G27" s="345"/>
    </row>
    <row r="28" spans="1:7" ht="20.100000000000001" customHeight="1" x14ac:dyDescent="0.25">
      <c r="A28" s="42" t="s">
        <v>24</v>
      </c>
      <c r="B28" s="156"/>
      <c r="C28" s="156"/>
      <c r="D28" s="156"/>
      <c r="E28" s="156"/>
      <c r="F28" s="156"/>
      <c r="G28" s="157"/>
    </row>
    <row r="29" spans="1:7" ht="15.9" customHeight="1" x14ac:dyDescent="0.25">
      <c r="A29" s="84" t="s">
        <v>32</v>
      </c>
      <c r="B29" s="158"/>
      <c r="C29" s="158"/>
      <c r="D29" s="158" t="s">
        <v>41</v>
      </c>
      <c r="E29" s="158"/>
      <c r="F29" s="158"/>
      <c r="G29" s="159"/>
    </row>
    <row r="30" spans="1:7" ht="15.9" customHeight="1" x14ac:dyDescent="0.25">
      <c r="A30" s="84" t="s">
        <v>33</v>
      </c>
      <c r="B30" s="158"/>
      <c r="C30" s="158"/>
      <c r="D30" s="158" t="s">
        <v>43</v>
      </c>
      <c r="E30" s="158"/>
      <c r="F30" s="158"/>
      <c r="G30" s="159"/>
    </row>
    <row r="31" spans="1:7" ht="15.9" customHeight="1" x14ac:dyDescent="0.25">
      <c r="A31" s="84" t="s">
        <v>34</v>
      </c>
      <c r="B31" s="158"/>
      <c r="C31" s="158"/>
      <c r="D31" s="158" t="s">
        <v>42</v>
      </c>
      <c r="E31" s="158"/>
      <c r="F31" s="158"/>
      <c r="G31" s="159"/>
    </row>
    <row r="32" spans="1:7" ht="15.9" customHeight="1" x14ac:dyDescent="0.25">
      <c r="A32" s="84" t="s">
        <v>35</v>
      </c>
      <c r="B32" s="158"/>
      <c r="C32" s="158"/>
      <c r="D32" s="158" t="s">
        <v>44</v>
      </c>
      <c r="E32" s="158"/>
      <c r="F32" s="158"/>
      <c r="G32" s="159"/>
    </row>
    <row r="33" spans="1:8" ht="15.9" customHeight="1" x14ac:dyDescent="0.25">
      <c r="A33" s="160" t="s">
        <v>40</v>
      </c>
      <c r="B33" s="161"/>
      <c r="C33" s="161"/>
      <c r="D33" s="161" t="s">
        <v>216</v>
      </c>
      <c r="E33" s="161"/>
      <c r="F33" s="161"/>
      <c r="G33" s="162"/>
    </row>
    <row r="35" spans="1:8" ht="14.4" x14ac:dyDescent="0.3">
      <c r="A35" s="138"/>
    </row>
    <row r="36" spans="1:8" ht="14.4" x14ac:dyDescent="0.3">
      <c r="G36" s="149" t="s">
        <v>269</v>
      </c>
      <c r="H36" s="29" t="s">
        <v>332</v>
      </c>
    </row>
  </sheetData>
  <sheetProtection algorithmName="SHA-512" hashValue="sjgizejUMP7n7qAizQXbNs2s0Fs2nmsuFTNea++z1barcXPlr1pzJiC6vDW0tumdYTGUkX7YYf3RFn3i2rqtug==" saltValue="7n8FE+ivjwjXoV90mUnCIg==" spinCount="100000" sheet="1" objects="1" scenarios="1"/>
  <mergeCells count="12">
    <mergeCell ref="F1:H1"/>
    <mergeCell ref="A2:H2"/>
    <mergeCell ref="E18:F18"/>
    <mergeCell ref="A27:G27"/>
    <mergeCell ref="C18:D18"/>
    <mergeCell ref="A17:A19"/>
    <mergeCell ref="B17:B19"/>
    <mergeCell ref="A7:B7"/>
    <mergeCell ref="A3:H3"/>
    <mergeCell ref="A4:H4"/>
    <mergeCell ref="A5:H5"/>
    <mergeCell ref="C17:G17"/>
  </mergeCells>
  <pageMargins left="0.23622047244094491" right="0.23622047244094491" top="0.74803149606299213" bottom="0.7480314960629921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5"/>
  <sheetViews>
    <sheetView showGridLines="0" zoomScale="80" zoomScaleNormal="80" workbookViewId="0">
      <selection activeCell="F45" sqref="F45"/>
    </sheetView>
  </sheetViews>
  <sheetFormatPr baseColWidth="10" defaultRowHeight="13.2" x14ac:dyDescent="0.25"/>
  <cols>
    <col min="1" max="1" width="34.44140625" bestFit="1" customWidth="1"/>
    <col min="2" max="2" width="17.88671875" customWidth="1"/>
    <col min="3" max="3" width="17" customWidth="1"/>
    <col min="4" max="4" width="17.5546875" customWidth="1"/>
    <col min="5" max="5" width="16.5546875" customWidth="1"/>
    <col min="8" max="8" width="23.44140625" style="123" bestFit="1" customWidth="1"/>
  </cols>
  <sheetData>
    <row r="1" spans="1:12" ht="14.4" x14ac:dyDescent="0.25">
      <c r="A1" s="152" t="s">
        <v>255</v>
      </c>
      <c r="B1" s="154"/>
      <c r="C1" s="154"/>
      <c r="D1" s="319" t="s">
        <v>256</v>
      </c>
      <c r="E1" s="319"/>
      <c r="F1" s="319"/>
    </row>
    <row r="2" spans="1:12" ht="60" customHeight="1" x14ac:dyDescent="0.25">
      <c r="A2" s="342" t="s">
        <v>220</v>
      </c>
      <c r="B2" s="342"/>
      <c r="C2" s="342"/>
      <c r="D2" s="342"/>
      <c r="E2" s="342"/>
      <c r="F2" s="342"/>
      <c r="G2" s="155"/>
      <c r="H2" s="155"/>
      <c r="I2" s="155"/>
      <c r="J2" s="155"/>
      <c r="K2" s="155"/>
      <c r="L2" s="155"/>
    </row>
    <row r="3" spans="1:12" ht="23.4" customHeight="1" x14ac:dyDescent="0.3">
      <c r="A3" s="358" t="s">
        <v>182</v>
      </c>
      <c r="B3" s="358"/>
      <c r="C3" s="358"/>
      <c r="D3" s="358"/>
      <c r="E3" s="358"/>
      <c r="F3" s="358"/>
      <c r="G3" s="41"/>
    </row>
    <row r="4" spans="1:12" ht="17.399999999999999" x14ac:dyDescent="0.3">
      <c r="A4" s="358" t="s">
        <v>104</v>
      </c>
      <c r="B4" s="358"/>
      <c r="C4" s="358"/>
      <c r="D4" s="358"/>
      <c r="E4" s="358"/>
      <c r="F4" s="358"/>
    </row>
    <row r="7" spans="1:12" s="18" customFormat="1" ht="13.8" x14ac:dyDescent="0.25">
      <c r="A7" s="112" t="s">
        <v>18</v>
      </c>
      <c r="B7" s="167">
        <v>44197</v>
      </c>
      <c r="C7" s="113"/>
      <c r="E7" s="19"/>
      <c r="H7" s="124"/>
    </row>
    <row r="8" spans="1:12" s="18" customFormat="1" ht="13.8" x14ac:dyDescent="0.25">
      <c r="A8" s="112" t="s">
        <v>17</v>
      </c>
      <c r="B8" s="167" t="s">
        <v>25</v>
      </c>
      <c r="C8" s="114"/>
      <c r="D8" s="114"/>
      <c r="E8" s="19"/>
      <c r="H8" s="124"/>
    </row>
    <row r="9" spans="1:12" s="18" customFormat="1" ht="13.8" x14ac:dyDescent="0.25">
      <c r="A9" s="112" t="s">
        <v>22</v>
      </c>
      <c r="B9" s="167" t="s">
        <v>231</v>
      </c>
      <c r="C9" s="167"/>
      <c r="D9" s="114"/>
      <c r="E9" s="20"/>
      <c r="H9" s="124"/>
    </row>
    <row r="10" spans="1:12" s="18" customFormat="1" ht="20.100000000000001" customHeight="1" x14ac:dyDescent="0.25">
      <c r="A10" s="73"/>
      <c r="B10" s="114"/>
      <c r="C10" s="114"/>
      <c r="D10" s="114"/>
      <c r="E10" s="74"/>
      <c r="H10" s="124"/>
    </row>
    <row r="11" spans="1:12" ht="13.8" x14ac:dyDescent="0.25">
      <c r="A11" s="73" t="s">
        <v>190</v>
      </c>
      <c r="B11" s="169">
        <v>1589.47</v>
      </c>
    </row>
    <row r="12" spans="1:12" s="4" customFormat="1" ht="20.100000000000001" customHeight="1" x14ac:dyDescent="0.25">
      <c r="A12" s="2"/>
      <c r="B12" s="14"/>
      <c r="C12" s="14"/>
      <c r="D12" s="14"/>
      <c r="E12" s="14"/>
      <c r="H12" s="125"/>
    </row>
    <row r="13" spans="1:12" s="6" customFormat="1" ht="20.100000000000001" hidden="1" customHeight="1" x14ac:dyDescent="0.25">
      <c r="A13" s="5"/>
      <c r="B13" s="16"/>
      <c r="C13" s="15" t="s">
        <v>4</v>
      </c>
      <c r="D13" s="17"/>
      <c r="E13" s="15" t="s">
        <v>3</v>
      </c>
      <c r="H13" s="125"/>
    </row>
    <row r="14" spans="1:12" s="6" customFormat="1" ht="20.100000000000001" hidden="1" customHeight="1" x14ac:dyDescent="0.25">
      <c r="A14" s="5"/>
      <c r="B14" s="3"/>
      <c r="C14" s="1">
        <v>0.55000000000000004</v>
      </c>
      <c r="D14" s="1"/>
      <c r="E14" s="1">
        <v>0.7</v>
      </c>
      <c r="H14" s="125"/>
    </row>
    <row r="15" spans="1:12" s="14" customFormat="1" ht="22.5" hidden="1" customHeight="1" x14ac:dyDescent="0.25">
      <c r="A15" s="8" t="s">
        <v>5</v>
      </c>
      <c r="B15" s="9"/>
      <c r="C15" s="7" t="e">
        <f>SUM(#REF!*C14)</f>
        <v>#REF!</v>
      </c>
      <c r="D15" s="7"/>
      <c r="E15" s="7" t="e">
        <f>SUM(#REF!*E14)</f>
        <v>#REF!</v>
      </c>
      <c r="G15" s="14" t="s">
        <v>177</v>
      </c>
      <c r="H15" s="125"/>
    </row>
    <row r="16" spans="1:12" s="14" customFormat="1" ht="20.100000000000001" hidden="1" customHeight="1" x14ac:dyDescent="0.25">
      <c r="A16" s="13" t="s">
        <v>6</v>
      </c>
      <c r="B16" s="11"/>
      <c r="C16" s="12"/>
      <c r="D16" s="12"/>
      <c r="E16" s="12"/>
      <c r="H16" s="125"/>
    </row>
    <row r="17" spans="1:9" s="14" customFormat="1" ht="20.100000000000001" hidden="1" customHeight="1" x14ac:dyDescent="0.25">
      <c r="A17" s="13" t="s">
        <v>6</v>
      </c>
      <c r="B17" s="11"/>
      <c r="C17" s="12"/>
      <c r="D17" s="12"/>
      <c r="E17" s="12"/>
      <c r="H17" s="125"/>
    </row>
    <row r="18" spans="1:9" s="10" customFormat="1" ht="20.100000000000001" hidden="1" customHeight="1" x14ac:dyDescent="0.25">
      <c r="A18" s="14"/>
      <c r="B18" s="14"/>
      <c r="C18" s="14"/>
      <c r="D18" s="14"/>
      <c r="E18" s="14"/>
      <c r="H18" s="125"/>
    </row>
    <row r="19" spans="1:9" s="10" customFormat="1" ht="34.5" customHeight="1" x14ac:dyDescent="0.25">
      <c r="A19" s="356" t="s">
        <v>1</v>
      </c>
      <c r="B19" s="357" t="s">
        <v>12</v>
      </c>
      <c r="C19" s="357" t="s">
        <v>288</v>
      </c>
      <c r="D19" s="356"/>
      <c r="E19" s="356"/>
      <c r="H19" s="125"/>
    </row>
    <row r="20" spans="1:9" s="14" customFormat="1" ht="36.75" customHeight="1" x14ac:dyDescent="0.25">
      <c r="A20" s="356"/>
      <c r="B20" s="357"/>
      <c r="C20" s="354" t="s">
        <v>167</v>
      </c>
      <c r="D20" s="355"/>
      <c r="E20" s="233" t="s">
        <v>275</v>
      </c>
      <c r="H20" s="125"/>
    </row>
    <row r="21" spans="1:9" s="14" customFormat="1" ht="31.5" customHeight="1" x14ac:dyDescent="0.25">
      <c r="A21" s="356"/>
      <c r="B21" s="357"/>
      <c r="C21" s="295" t="s">
        <v>330</v>
      </c>
      <c r="D21" s="295" t="s">
        <v>329</v>
      </c>
      <c r="E21" s="233" t="s">
        <v>21</v>
      </c>
      <c r="F21" s="23"/>
      <c r="H21" s="125"/>
      <c r="I21" s="126"/>
    </row>
    <row r="22" spans="1:9" s="14" customFormat="1" ht="30" customHeight="1" x14ac:dyDescent="0.25">
      <c r="A22" s="233" t="s">
        <v>0</v>
      </c>
      <c r="B22" s="235">
        <v>19348</v>
      </c>
      <c r="C22" s="239">
        <f>(B11*13/12)*70%</f>
        <v>1205.3480833333333</v>
      </c>
      <c r="D22" s="239">
        <f>(B11*13/12)*80%</f>
        <v>1377.5406666666668</v>
      </c>
      <c r="E22" s="239">
        <f t="shared" ref="E22:E32" si="0">IF(B22*85%/12&gt;=B$11*13/12,B22*85%/12,B$11*13/12)</f>
        <v>1721.9258333333335</v>
      </c>
      <c r="H22" s="125"/>
      <c r="I22" s="127"/>
    </row>
    <row r="23" spans="1:9" s="14" customFormat="1" ht="30" customHeight="1" x14ac:dyDescent="0.25">
      <c r="A23" s="233" t="s">
        <v>7</v>
      </c>
      <c r="B23" s="235">
        <v>19596</v>
      </c>
      <c r="C23" s="239">
        <f>(B11*13/12)*70%</f>
        <v>1205.3480833333333</v>
      </c>
      <c r="D23" s="239">
        <f>(B11*13/12)*80%</f>
        <v>1377.5406666666668</v>
      </c>
      <c r="E23" s="239">
        <f t="shared" si="0"/>
        <v>1721.9258333333335</v>
      </c>
      <c r="H23" s="125"/>
    </row>
    <row r="24" spans="1:9" s="14" customFormat="1" ht="30" customHeight="1" x14ac:dyDescent="0.25">
      <c r="A24" s="233" t="s">
        <v>2</v>
      </c>
      <c r="B24" s="235">
        <v>19940</v>
      </c>
      <c r="C24" s="239">
        <f>(B11*13/12)*70%</f>
        <v>1205.3480833333333</v>
      </c>
      <c r="D24" s="239">
        <f>(B11*13/12)*80%</f>
        <v>1377.5406666666668</v>
      </c>
      <c r="E24" s="239">
        <f t="shared" si="0"/>
        <v>1721.9258333333335</v>
      </c>
      <c r="H24" s="125"/>
    </row>
    <row r="25" spans="1:9" s="14" customFormat="1" ht="30" customHeight="1" x14ac:dyDescent="0.25">
      <c r="A25" s="233" t="s">
        <v>8</v>
      </c>
      <c r="B25" s="235">
        <v>21381</v>
      </c>
      <c r="C25" s="239">
        <f>(B11*13/12)*70%</f>
        <v>1205.3480833333333</v>
      </c>
      <c r="D25" s="239">
        <f>(B11*13/12)*80%</f>
        <v>1377.5406666666668</v>
      </c>
      <c r="E25" s="239">
        <f t="shared" si="0"/>
        <v>1721.9258333333335</v>
      </c>
      <c r="H25" s="125"/>
    </row>
    <row r="26" spans="1:9" s="14" customFormat="1" ht="30" customHeight="1" x14ac:dyDescent="0.25">
      <c r="A26" s="233" t="s">
        <v>9</v>
      </c>
      <c r="B26" s="235">
        <v>22390</v>
      </c>
      <c r="C26" s="239">
        <f>(B11*13/12)*70%</f>
        <v>1205.3480833333333</v>
      </c>
      <c r="D26" s="239">
        <f>(B11*13/12)*80%</f>
        <v>1377.5406666666668</v>
      </c>
      <c r="E26" s="239">
        <f t="shared" si="0"/>
        <v>1721.9258333333335</v>
      </c>
      <c r="H26" s="125"/>
    </row>
    <row r="27" spans="1:9" s="14" customFormat="1" ht="30" customHeight="1" x14ac:dyDescent="0.25">
      <c r="A27" s="233" t="s">
        <v>10</v>
      </c>
      <c r="B27" s="235">
        <v>24422</v>
      </c>
      <c r="C27" s="239">
        <f>(B11*13/12)*70%</f>
        <v>1205.3480833333333</v>
      </c>
      <c r="D27" s="239">
        <f>(B11*13/12)*80%</f>
        <v>1377.5406666666668</v>
      </c>
      <c r="E27" s="239">
        <f t="shared" si="0"/>
        <v>1729.8916666666667</v>
      </c>
      <c r="H27" s="125"/>
    </row>
    <row r="28" spans="1:9" s="14" customFormat="1" ht="30" customHeight="1" x14ac:dyDescent="0.25">
      <c r="A28" s="233" t="s">
        <v>11</v>
      </c>
      <c r="B28" s="235">
        <v>27067</v>
      </c>
      <c r="C28" s="239">
        <f>(B11*13/12)*70%</f>
        <v>1205.3480833333333</v>
      </c>
      <c r="D28" s="239">
        <f>(B11*13/12)*80%</f>
        <v>1377.5406666666668</v>
      </c>
      <c r="E28" s="239">
        <f t="shared" si="0"/>
        <v>1917.2458333333334</v>
      </c>
      <c r="H28" s="125"/>
    </row>
    <row r="29" spans="1:9" s="14" customFormat="1" ht="30" customHeight="1" x14ac:dyDescent="0.25">
      <c r="A29" s="233" t="s">
        <v>13</v>
      </c>
      <c r="B29" s="235">
        <v>29855</v>
      </c>
      <c r="C29" s="239">
        <f>(B11*13/12)*70%</f>
        <v>1205.3480833333333</v>
      </c>
      <c r="D29" s="239">
        <f>(B11*13/12)*80%</f>
        <v>1377.5406666666668</v>
      </c>
      <c r="E29" s="239">
        <f t="shared" si="0"/>
        <v>2114.7291666666665</v>
      </c>
      <c r="H29" s="125"/>
    </row>
    <row r="30" spans="1:9" s="14" customFormat="1" ht="30" customHeight="1" x14ac:dyDescent="0.25">
      <c r="A30" s="233" t="s">
        <v>14</v>
      </c>
      <c r="B30" s="235">
        <v>36476</v>
      </c>
      <c r="C30" s="239">
        <f>(B11*13/12)*70%</f>
        <v>1205.3480833333333</v>
      </c>
      <c r="D30" s="239">
        <f>(B11*13/12)*80%</f>
        <v>1377.5406666666668</v>
      </c>
      <c r="E30" s="239">
        <f t="shared" si="0"/>
        <v>2583.7166666666667</v>
      </c>
      <c r="H30" s="125"/>
    </row>
    <row r="31" spans="1:9" s="14" customFormat="1" ht="30" customHeight="1" x14ac:dyDescent="0.25">
      <c r="A31" s="233" t="s">
        <v>15</v>
      </c>
      <c r="B31" s="235">
        <v>44071</v>
      </c>
      <c r="C31" s="239">
        <f>(B11*13/12)*70%</f>
        <v>1205.3480833333333</v>
      </c>
      <c r="D31" s="239">
        <f>(B11*13/12)*80%</f>
        <v>1377.5406666666668</v>
      </c>
      <c r="E31" s="239">
        <f t="shared" si="0"/>
        <v>3121.6958333333332</v>
      </c>
      <c r="H31" s="125"/>
    </row>
    <row r="32" spans="1:9" s="14" customFormat="1" ht="30" customHeight="1" x14ac:dyDescent="0.25">
      <c r="A32" s="233" t="s">
        <v>16</v>
      </c>
      <c r="B32" s="235">
        <v>52437</v>
      </c>
      <c r="C32" s="239">
        <f>(B11*13/12)*70%</f>
        <v>1205.3480833333333</v>
      </c>
      <c r="D32" s="239">
        <f>(B11*13/12)*80%</f>
        <v>1377.5406666666668</v>
      </c>
      <c r="E32" s="239">
        <f t="shared" si="0"/>
        <v>3714.2874999999999</v>
      </c>
      <c r="H32" s="125"/>
    </row>
    <row r="33" spans="1:8" s="14" customFormat="1" ht="30" customHeight="1" x14ac:dyDescent="0.25">
      <c r="A33" s="261"/>
      <c r="B33" s="263" t="s">
        <v>289</v>
      </c>
      <c r="C33" s="262"/>
      <c r="D33" s="262"/>
      <c r="E33" s="262"/>
      <c r="H33" s="125"/>
    </row>
    <row r="34" spans="1:8" ht="27.6" customHeight="1" x14ac:dyDescent="0.25">
      <c r="C34" s="21"/>
      <c r="D34" s="21"/>
    </row>
    <row r="35" spans="1:8" ht="20.100000000000001" customHeight="1" x14ac:dyDescent="0.25">
      <c r="A35" s="42" t="s">
        <v>24</v>
      </c>
      <c r="B35" s="43"/>
      <c r="C35" s="43"/>
      <c r="D35" s="43"/>
      <c r="E35" s="43"/>
      <c r="F35" s="44"/>
    </row>
    <row r="36" spans="1:8" x14ac:dyDescent="0.25">
      <c r="A36" s="119" t="s">
        <v>27</v>
      </c>
      <c r="B36" s="158"/>
      <c r="C36" s="177" t="s">
        <v>19</v>
      </c>
      <c r="D36" s="177"/>
      <c r="E36" s="177"/>
      <c r="F36" s="46"/>
    </row>
    <row r="37" spans="1:8" x14ac:dyDescent="0.25">
      <c r="A37" s="119" t="s">
        <v>184</v>
      </c>
      <c r="B37" s="158"/>
      <c r="C37" s="177" t="s">
        <v>20</v>
      </c>
      <c r="D37" s="177"/>
      <c r="E37" s="177"/>
      <c r="F37" s="46"/>
    </row>
    <row r="38" spans="1:8" ht="13.8" x14ac:dyDescent="0.25">
      <c r="A38" s="119" t="s">
        <v>26</v>
      </c>
      <c r="B38" s="158"/>
      <c r="C38" s="177" t="s">
        <v>179</v>
      </c>
      <c r="D38" s="177"/>
      <c r="E38" s="177"/>
      <c r="F38" s="46"/>
    </row>
    <row r="39" spans="1:8" x14ac:dyDescent="0.25">
      <c r="A39" s="58"/>
      <c r="B39" s="45"/>
      <c r="C39" s="45"/>
      <c r="D39" s="45"/>
      <c r="E39" s="45"/>
      <c r="F39" s="46"/>
    </row>
    <row r="40" spans="1:8" s="22" customFormat="1" x14ac:dyDescent="0.25">
      <c r="A40" s="77" t="s">
        <v>29</v>
      </c>
      <c r="B40" s="76"/>
      <c r="C40" s="76"/>
      <c r="D40" s="76"/>
      <c r="E40" s="76"/>
      <c r="F40" s="46"/>
      <c r="H40" s="125"/>
    </row>
    <row r="41" spans="1:8" s="22" customFormat="1" ht="24" customHeight="1" x14ac:dyDescent="0.25">
      <c r="A41" s="359" t="s">
        <v>178</v>
      </c>
      <c r="B41" s="360"/>
      <c r="C41" s="360"/>
      <c r="D41" s="360"/>
      <c r="E41" s="360"/>
      <c r="F41" s="46"/>
      <c r="H41" s="125"/>
    </row>
    <row r="42" spans="1:8" s="22" customFormat="1" ht="18.899999999999999" customHeight="1" x14ac:dyDescent="0.25">
      <c r="A42" s="352" t="s">
        <v>192</v>
      </c>
      <c r="B42" s="353"/>
      <c r="C42" s="353"/>
      <c r="D42" s="353"/>
      <c r="E42" s="353"/>
      <c r="F42" s="49"/>
      <c r="H42" s="125"/>
    </row>
    <row r="43" spans="1:8" x14ac:dyDescent="0.25">
      <c r="E43" s="29"/>
    </row>
    <row r="45" spans="1:8" ht="14.4" x14ac:dyDescent="0.3">
      <c r="E45" s="149" t="s">
        <v>268</v>
      </c>
      <c r="F45" s="29" t="s">
        <v>332</v>
      </c>
    </row>
  </sheetData>
  <sheetProtection algorithmName="SHA-512" hashValue="2QFfcUyzznr8kYz2O+tU40FiQtsxdAW4ezgMfqfV+pLqZF+qks5yZeobBJhi4N/yBunJb+5FhwzHmRhmcIryUA==" saltValue="xQ3rJQq0astFQOEYiG6u1w==" spinCount="100000" sheet="1" objects="1" scenarios="1"/>
  <mergeCells count="10">
    <mergeCell ref="D1:F1"/>
    <mergeCell ref="A2:F2"/>
    <mergeCell ref="A3:F3"/>
    <mergeCell ref="A4:F4"/>
    <mergeCell ref="A41:E41"/>
    <mergeCell ref="A42:E42"/>
    <mergeCell ref="C20:D20"/>
    <mergeCell ref="A19:A21"/>
    <mergeCell ref="C19:E19"/>
    <mergeCell ref="B19:B21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1"/>
  <sheetViews>
    <sheetView showGridLines="0" zoomScale="80" zoomScaleNormal="80" workbookViewId="0">
      <selection activeCell="G39" sqref="G39"/>
    </sheetView>
  </sheetViews>
  <sheetFormatPr baseColWidth="10" defaultRowHeight="13.2" x14ac:dyDescent="0.25"/>
  <cols>
    <col min="1" max="1" width="21.5546875" customWidth="1"/>
    <col min="2" max="3" width="12.44140625" customWidth="1"/>
    <col min="4" max="4" width="14.5546875" customWidth="1"/>
    <col min="5" max="5" width="17.109375" bestFit="1" customWidth="1"/>
    <col min="8" max="8" width="16.5546875" bestFit="1" customWidth="1"/>
    <col min="9" max="9" width="12.109375" customWidth="1"/>
  </cols>
  <sheetData>
    <row r="1" spans="1:11" ht="14.4" x14ac:dyDescent="0.25">
      <c r="A1" s="152" t="s">
        <v>255</v>
      </c>
      <c r="B1" s="154"/>
      <c r="C1" s="154"/>
      <c r="D1" s="154"/>
      <c r="E1" s="319" t="s">
        <v>256</v>
      </c>
      <c r="F1" s="319"/>
      <c r="G1" s="319"/>
      <c r="H1" s="152"/>
    </row>
    <row r="2" spans="1:11" ht="33.6" x14ac:dyDescent="0.25">
      <c r="A2" s="342" t="s">
        <v>221</v>
      </c>
      <c r="B2" s="342"/>
      <c r="C2" s="342"/>
      <c r="D2" s="342"/>
      <c r="E2" s="342"/>
      <c r="F2" s="342"/>
      <c r="G2" s="342"/>
      <c r="H2" s="155"/>
    </row>
    <row r="3" spans="1:11" ht="17.399999999999999" x14ac:dyDescent="0.3">
      <c r="A3" s="358" t="s">
        <v>182</v>
      </c>
      <c r="B3" s="358"/>
      <c r="C3" s="358"/>
      <c r="D3" s="358"/>
      <c r="E3" s="358"/>
      <c r="F3" s="358"/>
      <c r="G3" s="358"/>
    </row>
    <row r="4" spans="1:11" ht="17.399999999999999" x14ac:dyDescent="0.3">
      <c r="A4" s="358" t="s">
        <v>104</v>
      </c>
      <c r="B4" s="358"/>
      <c r="C4" s="358"/>
      <c r="D4" s="358"/>
      <c r="E4" s="358"/>
      <c r="F4" s="358"/>
      <c r="G4" s="358"/>
    </row>
    <row r="7" spans="1:11" ht="13.8" x14ac:dyDescent="0.25">
      <c r="A7" s="112" t="s">
        <v>18</v>
      </c>
      <c r="B7" s="259">
        <v>44197</v>
      </c>
      <c r="C7" s="113"/>
      <c r="D7" s="18"/>
      <c r="E7" s="32"/>
    </row>
    <row r="8" spans="1:11" ht="13.8" x14ac:dyDescent="0.25">
      <c r="A8" s="112" t="s">
        <v>17</v>
      </c>
      <c r="B8" s="260" t="s">
        <v>25</v>
      </c>
      <c r="C8" s="114"/>
      <c r="D8" s="114"/>
      <c r="E8" s="32"/>
    </row>
    <row r="9" spans="1:11" ht="13.8" x14ac:dyDescent="0.25">
      <c r="A9" s="112" t="s">
        <v>22</v>
      </c>
      <c r="B9" s="260" t="s">
        <v>292</v>
      </c>
      <c r="C9" s="114"/>
      <c r="D9" s="114"/>
      <c r="E9" s="33"/>
    </row>
    <row r="10" spans="1:11" x14ac:dyDescent="0.25">
      <c r="A10" s="2"/>
      <c r="B10" s="207"/>
      <c r="C10" s="14"/>
      <c r="D10" s="14"/>
      <c r="E10" s="14"/>
    </row>
    <row r="11" spans="1:11" ht="14.4" customHeight="1" x14ac:dyDescent="0.25">
      <c r="A11" s="73" t="s">
        <v>190</v>
      </c>
      <c r="B11" s="165">
        <v>1589.47</v>
      </c>
    </row>
    <row r="12" spans="1:11" ht="24.9" customHeight="1" x14ac:dyDescent="0.25">
      <c r="A12" s="14"/>
      <c r="B12" s="179"/>
      <c r="C12" s="14"/>
      <c r="D12" s="14"/>
      <c r="E12" s="14"/>
    </row>
    <row r="13" spans="1:11" ht="12.75" customHeight="1" x14ac:dyDescent="0.25">
      <c r="A13" s="361" t="s">
        <v>1</v>
      </c>
      <c r="B13" s="366" t="s">
        <v>233</v>
      </c>
      <c r="C13" s="368" t="s">
        <v>281</v>
      </c>
      <c r="D13" s="369"/>
      <c r="E13" s="361" t="s">
        <v>274</v>
      </c>
    </row>
    <row r="14" spans="1:11" ht="33" customHeight="1" x14ac:dyDescent="0.25">
      <c r="A14" s="362"/>
      <c r="B14" s="362"/>
      <c r="C14" s="370"/>
      <c r="D14" s="371"/>
      <c r="E14" s="363"/>
      <c r="I14" s="102"/>
    </row>
    <row r="15" spans="1:11" ht="30" customHeight="1" x14ac:dyDescent="0.25">
      <c r="A15" s="363"/>
      <c r="B15" s="363"/>
      <c r="C15" s="171" t="s">
        <v>280</v>
      </c>
      <c r="D15" s="233" t="s">
        <v>272</v>
      </c>
      <c r="E15" s="240" t="s">
        <v>21</v>
      </c>
      <c r="I15" s="102"/>
    </row>
    <row r="16" spans="1:11" ht="33.75" customHeight="1" x14ac:dyDescent="0.25">
      <c r="A16" s="233" t="s">
        <v>0</v>
      </c>
      <c r="B16" s="241">
        <v>20125</v>
      </c>
      <c r="C16" s="242">
        <f>$B$11*70%*13/12</f>
        <v>1205.3480833333333</v>
      </c>
      <c r="D16" s="242">
        <f>$B$11*80%*13/12</f>
        <v>1377.5406666666668</v>
      </c>
      <c r="E16" s="374" t="s">
        <v>198</v>
      </c>
      <c r="H16" s="125"/>
      <c r="I16" s="130"/>
      <c r="K16" s="99"/>
    </row>
    <row r="17" spans="1:9" ht="33.75" customHeight="1" x14ac:dyDescent="0.25">
      <c r="A17" s="233" t="s">
        <v>195</v>
      </c>
      <c r="B17" s="241">
        <v>20451</v>
      </c>
      <c r="C17" s="242">
        <f t="shared" ref="C17:C26" si="0">$B$11*70%*13/12</f>
        <v>1205.3480833333333</v>
      </c>
      <c r="D17" s="242">
        <f t="shared" ref="D17:D26" si="1">$B$11*80%*13/12</f>
        <v>1377.5406666666668</v>
      </c>
      <c r="E17" s="375"/>
      <c r="H17" s="102"/>
      <c r="I17" s="102"/>
    </row>
    <row r="18" spans="1:9" ht="33.75" customHeight="1" x14ac:dyDescent="0.25">
      <c r="A18" s="233" t="s">
        <v>196</v>
      </c>
      <c r="B18" s="241">
        <v>20883</v>
      </c>
      <c r="C18" s="242">
        <f t="shared" si="0"/>
        <v>1205.3480833333333</v>
      </c>
      <c r="D18" s="242">
        <f t="shared" si="1"/>
        <v>1377.5406666666668</v>
      </c>
      <c r="E18" s="375"/>
      <c r="H18" s="121"/>
      <c r="I18" s="115"/>
    </row>
    <row r="19" spans="1:9" ht="33.75" customHeight="1" x14ac:dyDescent="0.25">
      <c r="A19" s="233" t="s">
        <v>232</v>
      </c>
      <c r="B19" s="241">
        <v>21819</v>
      </c>
      <c r="C19" s="242">
        <f t="shared" si="0"/>
        <v>1205.3480833333333</v>
      </c>
      <c r="D19" s="242">
        <f t="shared" si="1"/>
        <v>1377.5406666666668</v>
      </c>
      <c r="E19" s="375"/>
      <c r="H19" s="102"/>
      <c r="I19" s="115"/>
    </row>
    <row r="20" spans="1:9" ht="33.75" customHeight="1" x14ac:dyDescent="0.25">
      <c r="A20" s="233" t="s">
        <v>9</v>
      </c>
      <c r="B20" s="241">
        <v>22851</v>
      </c>
      <c r="C20" s="242">
        <f t="shared" si="0"/>
        <v>1205.3480833333333</v>
      </c>
      <c r="D20" s="242">
        <f t="shared" si="1"/>
        <v>1377.5406666666668</v>
      </c>
      <c r="E20" s="375"/>
      <c r="H20" s="102"/>
      <c r="I20" s="115"/>
    </row>
    <row r="21" spans="1:9" ht="33.75" customHeight="1" x14ac:dyDescent="0.25">
      <c r="A21" s="233" t="s">
        <v>10</v>
      </c>
      <c r="B21" s="241">
        <v>24925</v>
      </c>
      <c r="C21" s="242">
        <f t="shared" si="0"/>
        <v>1205.3480833333333</v>
      </c>
      <c r="D21" s="242">
        <f t="shared" si="1"/>
        <v>1377.5406666666668</v>
      </c>
      <c r="E21" s="375"/>
      <c r="H21" s="115"/>
      <c r="I21" s="115"/>
    </row>
    <row r="22" spans="1:9" ht="33.75" customHeight="1" x14ac:dyDescent="0.25">
      <c r="A22" s="233" t="s">
        <v>11</v>
      </c>
      <c r="B22" s="241">
        <v>27622</v>
      </c>
      <c r="C22" s="242">
        <f t="shared" si="0"/>
        <v>1205.3480833333333</v>
      </c>
      <c r="D22" s="242">
        <f t="shared" si="1"/>
        <v>1377.5406666666668</v>
      </c>
      <c r="E22" s="375"/>
      <c r="H22" s="115"/>
      <c r="I22" s="115"/>
    </row>
    <row r="23" spans="1:9" ht="33.75" customHeight="1" x14ac:dyDescent="0.25">
      <c r="A23" s="233" t="s">
        <v>13</v>
      </c>
      <c r="B23" s="241">
        <v>30468</v>
      </c>
      <c r="C23" s="242">
        <f t="shared" si="0"/>
        <v>1205.3480833333333</v>
      </c>
      <c r="D23" s="242">
        <f t="shared" si="1"/>
        <v>1377.5406666666668</v>
      </c>
      <c r="E23" s="375"/>
      <c r="H23" s="115"/>
      <c r="I23" s="115"/>
    </row>
    <row r="24" spans="1:9" ht="33.75" customHeight="1" x14ac:dyDescent="0.25">
      <c r="A24" s="233" t="s">
        <v>14</v>
      </c>
      <c r="B24" s="241">
        <v>37227</v>
      </c>
      <c r="C24" s="242">
        <f t="shared" si="0"/>
        <v>1205.3480833333333</v>
      </c>
      <c r="D24" s="242">
        <f t="shared" si="1"/>
        <v>1377.5406666666668</v>
      </c>
      <c r="E24" s="375"/>
      <c r="H24" s="115"/>
      <c r="I24" s="115"/>
    </row>
    <row r="25" spans="1:9" ht="33.75" customHeight="1" x14ac:dyDescent="0.25">
      <c r="A25" s="233" t="s">
        <v>15</v>
      </c>
      <c r="B25" s="241">
        <v>44977</v>
      </c>
      <c r="C25" s="242">
        <f t="shared" si="0"/>
        <v>1205.3480833333333</v>
      </c>
      <c r="D25" s="242">
        <f t="shared" si="1"/>
        <v>1377.5406666666668</v>
      </c>
      <c r="E25" s="375"/>
      <c r="H25" s="115"/>
    </row>
    <row r="26" spans="1:9" ht="33.75" customHeight="1" x14ac:dyDescent="0.25">
      <c r="A26" s="233" t="s">
        <v>16</v>
      </c>
      <c r="B26" s="241">
        <v>53514</v>
      </c>
      <c r="C26" s="242">
        <f t="shared" si="0"/>
        <v>1205.3480833333333</v>
      </c>
      <c r="D26" s="242">
        <f t="shared" si="1"/>
        <v>1377.5406666666668</v>
      </c>
      <c r="E26" s="376"/>
      <c r="H26" s="115"/>
    </row>
    <row r="27" spans="1:9" x14ac:dyDescent="0.25">
      <c r="A27" s="51"/>
      <c r="B27" s="40"/>
      <c r="C27" s="40"/>
      <c r="D27" s="40"/>
    </row>
    <row r="28" spans="1:9" ht="21.9" customHeight="1" x14ac:dyDescent="0.25">
      <c r="A28" s="367"/>
      <c r="B28" s="367"/>
      <c r="C28" s="367"/>
      <c r="D28" s="367"/>
      <c r="E28" s="367"/>
    </row>
    <row r="29" spans="1:9" ht="21.9" customHeight="1" x14ac:dyDescent="0.25">
      <c r="A29" s="42" t="s">
        <v>24</v>
      </c>
      <c r="B29" s="43"/>
      <c r="C29" s="43"/>
      <c r="D29" s="43"/>
      <c r="E29" s="44"/>
    </row>
    <row r="30" spans="1:9" ht="33" customHeight="1" x14ac:dyDescent="0.25">
      <c r="A30" s="128" t="s">
        <v>67</v>
      </c>
      <c r="B30" s="180" t="s">
        <v>68</v>
      </c>
      <c r="C30" s="181"/>
      <c r="D30" s="181"/>
      <c r="E30" s="186"/>
    </row>
    <row r="31" spans="1:9" s="59" customFormat="1" ht="26.4" x14ac:dyDescent="0.25">
      <c r="A31" s="129" t="s">
        <v>70</v>
      </c>
      <c r="B31" s="181" t="s">
        <v>69</v>
      </c>
      <c r="C31" s="181"/>
      <c r="D31" s="181"/>
      <c r="E31" s="186"/>
      <c r="F31"/>
      <c r="G31"/>
      <c r="H31"/>
    </row>
    <row r="32" spans="1:9" s="59" customFormat="1" ht="27" x14ac:dyDescent="0.25">
      <c r="A32" s="129" t="s">
        <v>26</v>
      </c>
      <c r="B32" s="372" t="s">
        <v>197</v>
      </c>
      <c r="C32" s="372"/>
      <c r="D32" s="372"/>
      <c r="E32" s="373"/>
      <c r="F32"/>
      <c r="G32"/>
      <c r="H32"/>
    </row>
    <row r="33" spans="1:8" s="59" customFormat="1" x14ac:dyDescent="0.25">
      <c r="A33" s="58"/>
      <c r="B33" s="182"/>
      <c r="C33" s="182"/>
      <c r="D33" s="182"/>
      <c r="E33" s="183"/>
    </row>
    <row r="34" spans="1:8" x14ac:dyDescent="0.25">
      <c r="A34" s="77" t="s">
        <v>29</v>
      </c>
      <c r="B34" s="184"/>
      <c r="C34" s="184"/>
      <c r="D34" s="184"/>
      <c r="E34" s="185"/>
      <c r="F34" s="59"/>
      <c r="G34" s="59"/>
      <c r="H34" s="59"/>
    </row>
    <row r="35" spans="1:8" ht="38.4" customHeight="1" x14ac:dyDescent="0.25">
      <c r="A35" s="352" t="s">
        <v>71</v>
      </c>
      <c r="B35" s="353"/>
      <c r="C35" s="353"/>
      <c r="D35" s="353"/>
      <c r="E35" s="364"/>
      <c r="F35" s="59"/>
      <c r="G35" s="59"/>
      <c r="H35" s="59"/>
    </row>
    <row r="36" spans="1:8" x14ac:dyDescent="0.25">
      <c r="A36" s="365"/>
      <c r="B36" s="365"/>
      <c r="C36" s="365"/>
      <c r="D36" s="365"/>
      <c r="E36" s="365"/>
    </row>
    <row r="38" spans="1:8" x14ac:dyDescent="0.25">
      <c r="A38" s="146"/>
    </row>
    <row r="39" spans="1:8" ht="14.4" x14ac:dyDescent="0.3">
      <c r="F39" s="149" t="s">
        <v>267</v>
      </c>
      <c r="G39" s="29" t="s">
        <v>332</v>
      </c>
    </row>
    <row r="41" spans="1:8" x14ac:dyDescent="0.25">
      <c r="A41" s="29"/>
      <c r="B41" s="21"/>
      <c r="C41" s="21"/>
      <c r="D41" s="21"/>
      <c r="E41" s="21"/>
      <c r="F41" s="21"/>
    </row>
  </sheetData>
  <sheetProtection algorithmName="SHA-512" hashValue="I/qqgAUQrtSKAShZzquvrDN7XE6qWWAapaI84CdIVAYdRZWPIjJLLndiZeTnVrK4U+603WRZfJCtBa8ZG0QHgg==" saltValue="nFpFsX9XDz16mWwiiwDr0g==" spinCount="100000" sheet="1" objects="1" scenarios="1"/>
  <mergeCells count="13">
    <mergeCell ref="A35:E35"/>
    <mergeCell ref="A36:E36"/>
    <mergeCell ref="B13:B15"/>
    <mergeCell ref="E13:E14"/>
    <mergeCell ref="A28:E28"/>
    <mergeCell ref="C13:D14"/>
    <mergeCell ref="B32:E32"/>
    <mergeCell ref="E16:E26"/>
    <mergeCell ref="E1:G1"/>
    <mergeCell ref="A2:G2"/>
    <mergeCell ref="A3:G3"/>
    <mergeCell ref="A4:G4"/>
    <mergeCell ref="A13:A1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8"/>
  <sheetViews>
    <sheetView showGridLines="0" zoomScale="80" zoomScaleNormal="80" workbookViewId="0">
      <selection activeCell="K48" sqref="K48"/>
    </sheetView>
  </sheetViews>
  <sheetFormatPr baseColWidth="10" defaultRowHeight="13.2" x14ac:dyDescent="0.25"/>
  <cols>
    <col min="1" max="1" width="31.44140625" customWidth="1"/>
    <col min="2" max="2" width="18.6640625" customWidth="1"/>
    <col min="3" max="3" width="4" customWidth="1"/>
    <col min="4" max="4" width="7.5546875" customWidth="1"/>
    <col min="5" max="5" width="14.6640625" customWidth="1"/>
    <col min="6" max="6" width="13.109375" customWidth="1"/>
    <col min="7" max="7" width="17.33203125" customWidth="1"/>
    <col min="8" max="8" width="8.109375" style="36" customWidth="1"/>
    <col min="9" max="9" width="12.109375" bestFit="1" customWidth="1"/>
    <col min="10" max="10" width="8.5546875" style="36" customWidth="1"/>
    <col min="11" max="11" width="23.44140625" customWidth="1"/>
    <col min="12" max="12" width="16.109375" customWidth="1"/>
    <col min="13" max="14" width="10.88671875" style="102"/>
  </cols>
  <sheetData>
    <row r="1" spans="1:30" ht="14.4" x14ac:dyDescent="0.25">
      <c r="A1" s="152" t="s">
        <v>255</v>
      </c>
      <c r="B1" s="154"/>
      <c r="C1" s="154"/>
      <c r="D1" s="154"/>
      <c r="E1" s="154"/>
      <c r="J1" s="319" t="s">
        <v>256</v>
      </c>
      <c r="K1" s="319"/>
      <c r="M1"/>
      <c r="N1"/>
    </row>
    <row r="2" spans="1:30" ht="33.75" customHeight="1" x14ac:dyDescent="0.25">
      <c r="A2" s="342" t="s">
        <v>222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55"/>
    </row>
    <row r="3" spans="1:30" ht="18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30" ht="17.399999999999999" x14ac:dyDescent="0.25">
      <c r="A4" s="381" t="s">
        <v>182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30" ht="17.399999999999999" x14ac:dyDescent="0.3">
      <c r="A5" s="358" t="s">
        <v>104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30" ht="21" customHeight="1" x14ac:dyDescent="0.25">
      <c r="B6" s="187"/>
      <c r="C6" s="187"/>
    </row>
    <row r="7" spans="1:30" ht="13.8" x14ac:dyDescent="0.25">
      <c r="A7" s="62" t="s">
        <v>18</v>
      </c>
      <c r="B7" s="385">
        <v>44470</v>
      </c>
      <c r="C7" s="385"/>
    </row>
    <row r="8" spans="1:30" ht="13.8" x14ac:dyDescent="0.25">
      <c r="A8" s="62" t="s">
        <v>17</v>
      </c>
      <c r="B8" s="188" t="s">
        <v>25</v>
      </c>
      <c r="C8" s="189"/>
    </row>
    <row r="9" spans="1:30" ht="13.8" x14ac:dyDescent="0.25">
      <c r="A9" s="62" t="s">
        <v>22</v>
      </c>
      <c r="B9" s="188" t="s">
        <v>234</v>
      </c>
      <c r="C9" s="189"/>
    </row>
    <row r="10" spans="1:30" ht="18" customHeight="1" x14ac:dyDescent="0.25">
      <c r="A10" s="62"/>
      <c r="B10" s="190"/>
      <c r="C10" s="189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</row>
    <row r="11" spans="1:30" ht="13.8" x14ac:dyDescent="0.25">
      <c r="A11" s="62"/>
      <c r="B11" s="188"/>
      <c r="C11" s="189"/>
    </row>
    <row r="12" spans="1:30" ht="15.75" customHeight="1" x14ac:dyDescent="0.25">
      <c r="A12" s="34" t="s">
        <v>190</v>
      </c>
      <c r="B12" s="165">
        <v>1589.47</v>
      </c>
      <c r="C12" s="187"/>
    </row>
    <row r="13" spans="1:30" ht="13.8" x14ac:dyDescent="0.25">
      <c r="A13" s="34"/>
      <c r="B13" s="34"/>
      <c r="C13" s="57"/>
    </row>
    <row r="14" spans="1:30" ht="63" customHeight="1" x14ac:dyDescent="0.25">
      <c r="A14" s="357" t="s">
        <v>129</v>
      </c>
      <c r="B14" s="357" t="s">
        <v>130</v>
      </c>
      <c r="C14" s="357" t="s">
        <v>131</v>
      </c>
      <c r="D14" s="357"/>
      <c r="E14" s="357" t="s">
        <v>132</v>
      </c>
      <c r="F14" s="357" t="s">
        <v>133</v>
      </c>
      <c r="G14" s="357" t="s">
        <v>134</v>
      </c>
      <c r="H14" s="368" t="s">
        <v>135</v>
      </c>
      <c r="I14" s="369"/>
      <c r="J14" s="357" t="s">
        <v>136</v>
      </c>
      <c r="K14" s="357"/>
      <c r="M14" s="115"/>
    </row>
    <row r="15" spans="1:30" ht="15.6" x14ac:dyDescent="0.25">
      <c r="A15" s="357"/>
      <c r="B15" s="357"/>
      <c r="C15" s="357"/>
      <c r="D15" s="357"/>
      <c r="E15" s="357"/>
      <c r="F15" s="357"/>
      <c r="G15" s="357"/>
      <c r="H15" s="370"/>
      <c r="I15" s="371"/>
      <c r="J15" s="386" t="s">
        <v>137</v>
      </c>
      <c r="K15" s="387"/>
      <c r="M15" s="115"/>
    </row>
    <row r="16" spans="1:30" ht="38.25" customHeight="1" x14ac:dyDescent="0.25">
      <c r="A16" s="380" t="s">
        <v>282</v>
      </c>
      <c r="B16" s="71" t="s">
        <v>144</v>
      </c>
      <c r="C16" s="377" t="s">
        <v>138</v>
      </c>
      <c r="D16" s="172" t="s">
        <v>139</v>
      </c>
      <c r="E16" s="172">
        <v>230</v>
      </c>
      <c r="F16" s="172">
        <v>240</v>
      </c>
      <c r="G16" s="191">
        <v>1589.47</v>
      </c>
      <c r="H16" s="72">
        <v>0.8</v>
      </c>
      <c r="I16" s="243">
        <f t="shared" ref="I16:I25" si="0">G16*H16</f>
        <v>1271.576</v>
      </c>
      <c r="J16" s="72">
        <v>0.85</v>
      </c>
      <c r="K16" s="243">
        <f>IF(G16*85%&gt;=B12,G16*85%,B12)</f>
        <v>1589.47</v>
      </c>
      <c r="M16" s="115"/>
    </row>
    <row r="17" spans="1:13" ht="38.25" customHeight="1" x14ac:dyDescent="0.25">
      <c r="A17" s="380"/>
      <c r="B17" s="71" t="s">
        <v>145</v>
      </c>
      <c r="C17" s="378"/>
      <c r="D17" s="172" t="s">
        <v>139</v>
      </c>
      <c r="E17" s="172">
        <v>230</v>
      </c>
      <c r="F17" s="172">
        <v>240</v>
      </c>
      <c r="G17" s="191">
        <v>1589.47</v>
      </c>
      <c r="H17" s="72">
        <v>1</v>
      </c>
      <c r="I17" s="243">
        <f t="shared" si="0"/>
        <v>1589.47</v>
      </c>
      <c r="J17" s="72">
        <v>1</v>
      </c>
      <c r="K17" s="243">
        <f>IF(G17*100%&gt;=B12,G17*100%,B12)</f>
        <v>1589.47</v>
      </c>
      <c r="M17" s="115"/>
    </row>
    <row r="18" spans="1:13" ht="38.25" customHeight="1" x14ac:dyDescent="0.25">
      <c r="A18" s="380" t="s">
        <v>283</v>
      </c>
      <c r="B18" s="71" t="s">
        <v>144</v>
      </c>
      <c r="C18" s="378"/>
      <c r="D18" s="172" t="s">
        <v>140</v>
      </c>
      <c r="E18" s="172">
        <v>240</v>
      </c>
      <c r="F18" s="172">
        <v>250</v>
      </c>
      <c r="G18" s="191">
        <v>1589.47</v>
      </c>
      <c r="H18" s="72">
        <v>0.8</v>
      </c>
      <c r="I18" s="243">
        <f t="shared" si="0"/>
        <v>1271.576</v>
      </c>
      <c r="J18" s="72">
        <v>0.85</v>
      </c>
      <c r="K18" s="243">
        <f>IF(G18*85%&gt;=B12,G18*85%,B12)</f>
        <v>1589.47</v>
      </c>
      <c r="M18" s="115"/>
    </row>
    <row r="19" spans="1:13" ht="38.25" customHeight="1" x14ac:dyDescent="0.25">
      <c r="A19" s="380"/>
      <c r="B19" s="71" t="s">
        <v>145</v>
      </c>
      <c r="C19" s="378"/>
      <c r="D19" s="172" t="s">
        <v>140</v>
      </c>
      <c r="E19" s="172">
        <v>240</v>
      </c>
      <c r="F19" s="172">
        <v>250</v>
      </c>
      <c r="G19" s="191">
        <v>1589.47</v>
      </c>
      <c r="H19" s="72">
        <v>0.9</v>
      </c>
      <c r="I19" s="243">
        <f t="shared" si="0"/>
        <v>1430.5230000000001</v>
      </c>
      <c r="J19" s="72">
        <v>1</v>
      </c>
      <c r="K19" s="243">
        <f>IF(G19*100%&gt;=B12,G19*100%,B12)</f>
        <v>1589.47</v>
      </c>
      <c r="M19" s="115"/>
    </row>
    <row r="20" spans="1:13" ht="38.25" customHeight="1" x14ac:dyDescent="0.25">
      <c r="A20" s="380" t="s">
        <v>284</v>
      </c>
      <c r="B20" s="71" t="s">
        <v>144</v>
      </c>
      <c r="C20" s="378"/>
      <c r="D20" s="172" t="s">
        <v>141</v>
      </c>
      <c r="E20" s="172">
        <v>275</v>
      </c>
      <c r="F20" s="172">
        <v>310</v>
      </c>
      <c r="G20" s="191">
        <v>1683.75</v>
      </c>
      <c r="H20" s="72">
        <v>0.8</v>
      </c>
      <c r="I20" s="243">
        <f t="shared" si="0"/>
        <v>1347</v>
      </c>
      <c r="J20" s="72">
        <v>0.85</v>
      </c>
      <c r="K20" s="243">
        <f>IF(G20*85%&gt;=B12,G20*85%,B12)</f>
        <v>1589.47</v>
      </c>
      <c r="M20" s="115"/>
    </row>
    <row r="21" spans="1:13" ht="38.25" customHeight="1" x14ac:dyDescent="0.25">
      <c r="A21" s="380"/>
      <c r="B21" s="71" t="s">
        <v>145</v>
      </c>
      <c r="C21" s="378"/>
      <c r="D21" s="172" t="s">
        <v>141</v>
      </c>
      <c r="E21" s="172">
        <v>275</v>
      </c>
      <c r="F21" s="172">
        <v>310</v>
      </c>
      <c r="G21" s="191">
        <v>1683.75</v>
      </c>
      <c r="H21" s="72">
        <v>0.9</v>
      </c>
      <c r="I21" s="243">
        <f t="shared" si="0"/>
        <v>1515.375</v>
      </c>
      <c r="J21" s="72">
        <v>1</v>
      </c>
      <c r="K21" s="243">
        <f>IF(G21*100%&gt;=B12,G21*100%,B12)</f>
        <v>1683.75</v>
      </c>
      <c r="M21" s="115"/>
    </row>
    <row r="22" spans="1:13" ht="38.25" customHeight="1" x14ac:dyDescent="0.25">
      <c r="A22" s="380" t="s">
        <v>285</v>
      </c>
      <c r="B22" s="71" t="s">
        <v>144</v>
      </c>
      <c r="C22" s="378"/>
      <c r="D22" s="172" t="s">
        <v>142</v>
      </c>
      <c r="E22" s="172">
        <v>310</v>
      </c>
      <c r="F22" s="172">
        <v>355</v>
      </c>
      <c r="G22" s="191">
        <v>1786.7</v>
      </c>
      <c r="H22" s="72">
        <v>0.8</v>
      </c>
      <c r="I22" s="243">
        <f t="shared" si="0"/>
        <v>1429.3600000000001</v>
      </c>
      <c r="J22" s="72">
        <v>0.85</v>
      </c>
      <c r="K22" s="243">
        <f>IF(G22*85%&gt;=B12,G22*85%,B12)</f>
        <v>1589.47</v>
      </c>
      <c r="M22" s="115"/>
    </row>
    <row r="23" spans="1:13" ht="38.25" customHeight="1" x14ac:dyDescent="0.25">
      <c r="A23" s="380"/>
      <c r="B23" s="71" t="s">
        <v>145</v>
      </c>
      <c r="C23" s="379"/>
      <c r="D23" s="172" t="s">
        <v>142</v>
      </c>
      <c r="E23" s="172">
        <v>310</v>
      </c>
      <c r="F23" s="172">
        <v>355</v>
      </c>
      <c r="G23" s="191">
        <v>1786.7</v>
      </c>
      <c r="H23" s="72">
        <v>0.9</v>
      </c>
      <c r="I23" s="243">
        <f t="shared" si="0"/>
        <v>1608.03</v>
      </c>
      <c r="J23" s="72">
        <v>1</v>
      </c>
      <c r="K23" s="243">
        <f>IF(G23*100%&gt;=B12,G23*100%,B12)</f>
        <v>1786.7</v>
      </c>
      <c r="M23" s="115"/>
    </row>
    <row r="24" spans="1:13" ht="38.25" customHeight="1" x14ac:dyDescent="0.25">
      <c r="A24" s="380" t="s">
        <v>286</v>
      </c>
      <c r="B24" s="71" t="s">
        <v>144</v>
      </c>
      <c r="C24" s="337" t="s">
        <v>143</v>
      </c>
      <c r="D24" s="172" t="s">
        <v>139</v>
      </c>
      <c r="E24" s="172">
        <v>95</v>
      </c>
      <c r="F24" s="172">
        <v>100</v>
      </c>
      <c r="G24" s="191">
        <v>1983.6</v>
      </c>
      <c r="H24" s="72">
        <v>0.8</v>
      </c>
      <c r="I24" s="243">
        <f t="shared" si="0"/>
        <v>1586.88</v>
      </c>
      <c r="J24" s="72">
        <v>0.85</v>
      </c>
      <c r="K24" s="243">
        <f>IF(G24*85%&gt;=B12,G24*85%,B12)</f>
        <v>1686.06</v>
      </c>
    </row>
    <row r="25" spans="1:13" ht="38.25" customHeight="1" x14ac:dyDescent="0.25">
      <c r="A25" s="380"/>
      <c r="B25" s="71" t="s">
        <v>145</v>
      </c>
      <c r="C25" s="337"/>
      <c r="D25" s="172" t="s">
        <v>139</v>
      </c>
      <c r="E25" s="172">
        <v>95</v>
      </c>
      <c r="F25" s="172">
        <v>100</v>
      </c>
      <c r="G25" s="191">
        <v>1983.6</v>
      </c>
      <c r="H25" s="72">
        <v>1</v>
      </c>
      <c r="I25" s="243">
        <f t="shared" si="0"/>
        <v>1983.6</v>
      </c>
      <c r="J25" s="72">
        <v>1</v>
      </c>
      <c r="K25" s="243">
        <f>IF(G25*100%&gt;=B12,G25*100%,B12)</f>
        <v>1983.6</v>
      </c>
    </row>
    <row r="26" spans="1:13" x14ac:dyDescent="0.25">
      <c r="A26" s="67"/>
      <c r="H26" s="90"/>
    </row>
    <row r="27" spans="1:13" x14ac:dyDescent="0.25">
      <c r="H27" s="90"/>
    </row>
    <row r="28" spans="1:13" x14ac:dyDescent="0.25">
      <c r="A28" s="83" t="s">
        <v>29</v>
      </c>
      <c r="B28" s="43"/>
      <c r="C28" s="43"/>
      <c r="D28" s="43"/>
      <c r="E28" s="43"/>
      <c r="F28" s="43"/>
      <c r="G28" s="43"/>
      <c r="H28" s="88"/>
      <c r="I28" s="43"/>
      <c r="J28" s="88"/>
      <c r="K28" s="44"/>
    </row>
    <row r="29" spans="1:13" ht="22.5" customHeight="1" x14ac:dyDescent="0.25">
      <c r="A29" s="101" t="s">
        <v>165</v>
      </c>
      <c r="B29" s="45"/>
      <c r="C29" s="45"/>
      <c r="D29" s="45"/>
      <c r="E29" s="45"/>
      <c r="F29" s="45"/>
      <c r="G29" s="45"/>
      <c r="H29" s="89"/>
      <c r="I29" s="45"/>
      <c r="J29" s="89"/>
      <c r="K29" s="46"/>
    </row>
    <row r="30" spans="1:13" x14ac:dyDescent="0.25">
      <c r="A30" s="101" t="s">
        <v>180</v>
      </c>
      <c r="B30" s="45"/>
      <c r="C30" s="45"/>
      <c r="D30" s="45"/>
      <c r="E30" s="45"/>
      <c r="F30" s="45"/>
      <c r="G30" s="45"/>
      <c r="H30" s="89"/>
      <c r="I30" s="45"/>
      <c r="J30" s="89"/>
      <c r="K30" s="46"/>
    </row>
    <row r="31" spans="1:13" ht="26.25" customHeight="1" x14ac:dyDescent="0.25">
      <c r="A31" s="382" t="s">
        <v>181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4"/>
    </row>
    <row r="32" spans="1:13" x14ac:dyDescent="0.25">
      <c r="A32" s="91"/>
      <c r="B32" s="91"/>
      <c r="C32" s="91"/>
      <c r="D32" s="91"/>
      <c r="E32" s="92"/>
      <c r="F32" s="93"/>
      <c r="G32" s="92"/>
      <c r="H32" s="93"/>
      <c r="I32" s="92"/>
    </row>
    <row r="33" spans="1:14" s="102" customFormat="1" x14ac:dyDescent="0.25">
      <c r="A33" s="67"/>
      <c r="B33"/>
      <c r="C33"/>
      <c r="D33"/>
      <c r="E33"/>
      <c r="F33"/>
      <c r="G33"/>
      <c r="H33" s="36"/>
    </row>
    <row r="34" spans="1:14" s="102" customFormat="1" x14ac:dyDescent="0.25">
      <c r="A34"/>
      <c r="B34"/>
      <c r="C34"/>
      <c r="D34"/>
      <c r="E34"/>
      <c r="F34"/>
      <c r="G34"/>
      <c r="H34" s="36"/>
    </row>
    <row r="35" spans="1:14" s="102" customFormat="1" x14ac:dyDescent="0.25">
      <c r="A35" s="193" t="s">
        <v>29</v>
      </c>
      <c r="B35" s="194"/>
      <c r="C35" s="194"/>
      <c r="D35" s="194"/>
      <c r="E35" s="194"/>
      <c r="F35" s="194"/>
      <c r="G35" s="194"/>
      <c r="H35" s="195"/>
      <c r="I35" s="194"/>
      <c r="J35" s="195"/>
      <c r="K35" s="196"/>
    </row>
    <row r="36" spans="1:14" s="102" customFormat="1" ht="14.25" customHeight="1" x14ac:dyDescent="0.25">
      <c r="A36" s="197" t="s">
        <v>181</v>
      </c>
      <c r="B36" s="198"/>
      <c r="C36" s="198"/>
      <c r="D36" s="198"/>
      <c r="E36" s="198"/>
      <c r="F36" s="198"/>
      <c r="G36" s="198"/>
      <c r="H36" s="199"/>
      <c r="I36" s="198"/>
      <c r="J36" s="199"/>
      <c r="K36" s="200"/>
    </row>
    <row r="37" spans="1:14" s="102" customFormat="1" x14ac:dyDescent="0.25">
      <c r="A37" s="204" t="s">
        <v>174</v>
      </c>
      <c r="B37" s="198"/>
      <c r="C37" s="198"/>
      <c r="D37" s="198"/>
      <c r="E37" s="198"/>
      <c r="F37" s="198"/>
      <c r="G37" s="198"/>
      <c r="H37" s="199"/>
      <c r="I37" s="198"/>
      <c r="J37" s="199"/>
      <c r="K37" s="200"/>
    </row>
    <row r="38" spans="1:14" s="102" customFormat="1" ht="18" customHeight="1" x14ac:dyDescent="0.25">
      <c r="A38" s="205" t="s">
        <v>170</v>
      </c>
      <c r="B38" s="198"/>
      <c r="C38" s="198"/>
      <c r="D38" s="198"/>
      <c r="E38" s="198"/>
      <c r="F38" s="198"/>
      <c r="G38" s="198"/>
      <c r="H38" s="199"/>
      <c r="I38" s="198"/>
      <c r="J38" s="199"/>
      <c r="K38" s="200"/>
    </row>
    <row r="39" spans="1:14" s="102" customFormat="1" x14ac:dyDescent="0.25">
      <c r="A39" s="197" t="s">
        <v>171</v>
      </c>
      <c r="B39" s="198"/>
      <c r="C39" s="198"/>
      <c r="D39" s="198"/>
      <c r="E39" s="198"/>
      <c r="F39" s="198"/>
      <c r="G39" s="198"/>
      <c r="H39" s="199"/>
      <c r="I39" s="198"/>
      <c r="J39" s="199"/>
      <c r="K39" s="200"/>
    </row>
    <row r="40" spans="1:14" s="102" customFormat="1" x14ac:dyDescent="0.25">
      <c r="A40" s="197" t="s">
        <v>172</v>
      </c>
      <c r="B40" s="198"/>
      <c r="C40" s="198"/>
      <c r="D40" s="198"/>
      <c r="E40" s="198"/>
      <c r="F40" s="198"/>
      <c r="G40" s="198"/>
      <c r="H40" s="199"/>
      <c r="I40" s="198"/>
      <c r="J40" s="199"/>
      <c r="K40" s="200"/>
    </row>
    <row r="41" spans="1:14" s="102" customFormat="1" ht="18.75" customHeight="1" x14ac:dyDescent="0.25">
      <c r="A41" s="205" t="s">
        <v>173</v>
      </c>
      <c r="B41" s="198"/>
      <c r="C41" s="198"/>
      <c r="D41" s="198"/>
      <c r="E41" s="198"/>
      <c r="F41" s="198"/>
      <c r="G41" s="198"/>
      <c r="H41" s="199"/>
      <c r="I41" s="198"/>
      <c r="J41" s="199"/>
      <c r="K41" s="200"/>
    </row>
    <row r="42" spans="1:14" s="102" customFormat="1" ht="14.4" x14ac:dyDescent="0.3">
      <c r="A42" s="197" t="s">
        <v>176</v>
      </c>
      <c r="B42" s="201"/>
      <c r="C42" s="199"/>
      <c r="D42" s="199"/>
      <c r="E42" s="199"/>
      <c r="F42" s="199"/>
      <c r="G42" s="199"/>
      <c r="H42" s="199"/>
      <c r="I42" s="199"/>
      <c r="J42" s="199"/>
      <c r="K42" s="200"/>
    </row>
    <row r="43" spans="1:14" x14ac:dyDescent="0.25">
      <c r="A43" s="197" t="s">
        <v>175</v>
      </c>
      <c r="B43" s="198"/>
      <c r="C43" s="198"/>
      <c r="D43" s="198"/>
      <c r="E43" s="202"/>
      <c r="F43" s="203"/>
      <c r="G43" s="202"/>
      <c r="H43" s="203"/>
      <c r="I43" s="202"/>
      <c r="J43" s="199"/>
      <c r="K43" s="200"/>
    </row>
    <row r="44" spans="1:14" ht="4.5" customHeight="1" x14ac:dyDescent="0.25">
      <c r="A44" s="103"/>
      <c r="B44" s="104"/>
      <c r="C44" s="104"/>
      <c r="D44" s="104"/>
      <c r="E44" s="105"/>
      <c r="F44" s="106"/>
      <c r="G44" s="105"/>
      <c r="H44" s="106"/>
      <c r="I44" s="105"/>
      <c r="J44" s="107"/>
      <c r="K44" s="108"/>
    </row>
    <row r="45" spans="1:14" x14ac:dyDescent="0.25">
      <c r="A45" s="91"/>
      <c r="B45" s="91"/>
      <c r="C45" s="91"/>
      <c r="D45" s="91"/>
      <c r="E45" s="92"/>
      <c r="F45" s="93"/>
      <c r="G45" s="92"/>
      <c r="H45" s="93"/>
      <c r="I45" s="92"/>
    </row>
    <row r="46" spans="1:14" x14ac:dyDescent="0.25">
      <c r="A46" s="91"/>
      <c r="B46" s="91"/>
      <c r="C46" s="91"/>
      <c r="D46" s="91"/>
      <c r="E46" s="92"/>
      <c r="F46" s="93"/>
      <c r="G46" s="92"/>
      <c r="H46" s="93"/>
      <c r="I46" s="92"/>
    </row>
    <row r="47" spans="1:14" x14ac:dyDescent="0.25">
      <c r="A47" s="91"/>
      <c r="B47" s="91"/>
      <c r="C47" s="91"/>
      <c r="D47" s="91"/>
      <c r="E47" s="92"/>
      <c r="F47" s="93"/>
      <c r="G47" s="92"/>
      <c r="H47" s="93"/>
      <c r="I47" s="91"/>
    </row>
    <row r="48" spans="1:14" ht="14.4" x14ac:dyDescent="0.3">
      <c r="J48" s="149" t="s">
        <v>266</v>
      </c>
      <c r="K48" s="29" t="s">
        <v>332</v>
      </c>
      <c r="M48"/>
      <c r="N48"/>
    </row>
    <row r="49" spans="1:9" x14ac:dyDescent="0.25">
      <c r="A49" s="91"/>
      <c r="B49" s="91"/>
      <c r="C49" s="91"/>
      <c r="D49" s="91"/>
      <c r="E49" s="91"/>
      <c r="F49" s="91"/>
      <c r="G49" s="91"/>
      <c r="H49" s="91"/>
      <c r="I49" s="92"/>
    </row>
    <row r="50" spans="1:9" ht="14.4" x14ac:dyDescent="0.3">
      <c r="A50" s="91"/>
      <c r="B50" s="94"/>
      <c r="C50" s="95"/>
      <c r="D50" s="95"/>
      <c r="E50" s="95"/>
      <c r="F50" s="95"/>
      <c r="G50" s="95"/>
      <c r="H50" s="95"/>
      <c r="I50" s="92"/>
    </row>
    <row r="51" spans="1:9" x14ac:dyDescent="0.25">
      <c r="A51" s="91"/>
      <c r="B51" s="91"/>
      <c r="C51" s="91"/>
      <c r="D51" s="91"/>
      <c r="E51" s="92"/>
      <c r="F51" s="93"/>
      <c r="G51" s="92"/>
      <c r="H51" s="93"/>
      <c r="I51" s="92"/>
    </row>
    <row r="52" spans="1:9" x14ac:dyDescent="0.25">
      <c r="A52" s="91"/>
      <c r="B52" s="91"/>
      <c r="C52" s="91"/>
      <c r="D52" s="91"/>
      <c r="E52" s="92"/>
      <c r="F52" s="93"/>
      <c r="G52" s="92"/>
      <c r="H52" s="93"/>
      <c r="I52" s="92"/>
    </row>
    <row r="53" spans="1:9" x14ac:dyDescent="0.25">
      <c r="A53" s="91"/>
      <c r="B53" s="91"/>
      <c r="C53" s="91"/>
      <c r="D53" s="91"/>
      <c r="E53" s="92"/>
      <c r="F53" s="93"/>
      <c r="G53" s="92"/>
      <c r="H53" s="93"/>
      <c r="I53" s="92"/>
    </row>
    <row r="54" spans="1:9" x14ac:dyDescent="0.25">
      <c r="A54" s="91"/>
      <c r="B54" s="91"/>
      <c r="C54" s="91"/>
      <c r="D54" s="91"/>
      <c r="E54" s="92"/>
      <c r="F54" s="93"/>
      <c r="G54" s="92"/>
      <c r="H54" s="93"/>
      <c r="I54" s="92"/>
    </row>
    <row r="55" spans="1:9" x14ac:dyDescent="0.25">
      <c r="A55" s="91"/>
      <c r="B55" s="91"/>
      <c r="C55" s="91"/>
      <c r="D55" s="91"/>
      <c r="E55" s="92"/>
      <c r="F55" s="93"/>
      <c r="G55" s="92"/>
      <c r="H55" s="93"/>
      <c r="I55" s="92"/>
    </row>
    <row r="56" spans="1:9" x14ac:dyDescent="0.25">
      <c r="A56" s="91"/>
      <c r="B56" s="91"/>
      <c r="C56" s="91"/>
      <c r="D56" s="91"/>
      <c r="E56" s="92"/>
      <c r="F56" s="93"/>
      <c r="G56" s="92"/>
      <c r="H56" s="93"/>
      <c r="I56" s="92"/>
    </row>
    <row r="57" spans="1:9" x14ac:dyDescent="0.25">
      <c r="A57" s="91"/>
      <c r="B57" s="91"/>
      <c r="C57" s="91"/>
      <c r="D57" s="91"/>
      <c r="E57" s="92"/>
      <c r="F57" s="93"/>
      <c r="G57" s="92"/>
      <c r="H57" s="93"/>
      <c r="I57" s="92"/>
    </row>
    <row r="58" spans="1:9" x14ac:dyDescent="0.25">
      <c r="A58" s="91"/>
      <c r="B58" s="91"/>
      <c r="C58" s="91"/>
      <c r="D58" s="91"/>
      <c r="E58" s="92"/>
      <c r="F58" s="93"/>
      <c r="G58" s="92"/>
      <c r="H58" s="93"/>
      <c r="I58" s="92"/>
    </row>
    <row r="59" spans="1:9" x14ac:dyDescent="0.25">
      <c r="A59" s="91"/>
      <c r="B59" s="91"/>
      <c r="C59" s="91"/>
      <c r="D59" s="91"/>
      <c r="E59" s="92"/>
      <c r="F59" s="93"/>
      <c r="G59" s="92"/>
      <c r="H59" s="93"/>
      <c r="I59" s="91"/>
    </row>
    <row r="60" spans="1:9" x14ac:dyDescent="0.25">
      <c r="A60" s="91"/>
      <c r="B60" s="91"/>
      <c r="C60" s="91"/>
      <c r="D60" s="91"/>
      <c r="E60" s="92"/>
      <c r="F60" s="93"/>
      <c r="G60" s="92"/>
      <c r="H60" s="93"/>
      <c r="I60" s="95"/>
    </row>
    <row r="61" spans="1:9" ht="14.4" x14ac:dyDescent="0.3">
      <c r="A61" s="91"/>
      <c r="B61" s="91"/>
      <c r="C61" s="91"/>
      <c r="D61" s="91"/>
      <c r="E61" s="91"/>
      <c r="F61" s="91"/>
      <c r="G61" s="91"/>
      <c r="H61" s="91"/>
      <c r="I61" s="96"/>
    </row>
    <row r="62" spans="1:9" ht="14.4" x14ac:dyDescent="0.3">
      <c r="A62" s="91"/>
      <c r="B62" s="94"/>
      <c r="C62" s="95"/>
      <c r="D62" s="95"/>
      <c r="E62" s="95"/>
      <c r="F62" s="95"/>
      <c r="G62" s="95"/>
      <c r="H62" s="95"/>
      <c r="I62" s="92"/>
    </row>
    <row r="63" spans="1:9" x14ac:dyDescent="0.25">
      <c r="A63" s="91"/>
      <c r="B63" s="91"/>
      <c r="C63" s="91"/>
      <c r="D63" s="91"/>
      <c r="E63" s="92"/>
      <c r="F63" s="93"/>
      <c r="G63" s="92"/>
      <c r="H63" s="93"/>
      <c r="I63" s="92"/>
    </row>
    <row r="64" spans="1:9" x14ac:dyDescent="0.25">
      <c r="A64" s="91"/>
      <c r="B64" s="91"/>
      <c r="C64" s="91"/>
      <c r="D64" s="91"/>
      <c r="E64" s="92"/>
      <c r="F64" s="93"/>
      <c r="G64" s="92"/>
      <c r="H64" s="93"/>
      <c r="I64" s="92"/>
    </row>
    <row r="65" spans="1:9" x14ac:dyDescent="0.25">
      <c r="A65" s="91"/>
      <c r="B65" s="91"/>
      <c r="C65" s="91"/>
      <c r="D65" s="91"/>
      <c r="E65" s="92"/>
      <c r="F65" s="93"/>
      <c r="G65" s="92"/>
      <c r="H65" s="93"/>
      <c r="I65" s="92"/>
    </row>
    <row r="66" spans="1:9" x14ac:dyDescent="0.25">
      <c r="A66" s="91"/>
      <c r="B66" s="91"/>
      <c r="C66" s="91"/>
      <c r="D66" s="91"/>
      <c r="E66" s="92"/>
      <c r="F66" s="93"/>
      <c r="G66" s="92"/>
      <c r="H66" s="93"/>
      <c r="I66" s="92"/>
    </row>
    <row r="67" spans="1:9" x14ac:dyDescent="0.25">
      <c r="A67" s="91"/>
      <c r="B67" s="91"/>
      <c r="C67" s="91"/>
      <c r="D67" s="91"/>
      <c r="E67" s="92"/>
      <c r="F67" s="93"/>
      <c r="G67" s="92"/>
      <c r="H67" s="93"/>
      <c r="I67" s="92"/>
    </row>
    <row r="68" spans="1:9" x14ac:dyDescent="0.25">
      <c r="A68" s="91"/>
      <c r="B68" s="91"/>
      <c r="C68" s="91"/>
      <c r="D68" s="91"/>
      <c r="E68" s="92"/>
      <c r="F68" s="93"/>
      <c r="G68" s="92"/>
      <c r="H68" s="93"/>
      <c r="I68" s="92"/>
    </row>
    <row r="69" spans="1:9" x14ac:dyDescent="0.25">
      <c r="A69" s="91"/>
      <c r="B69" s="91"/>
      <c r="C69" s="91"/>
      <c r="D69" s="91"/>
      <c r="E69" s="92"/>
      <c r="F69" s="93"/>
      <c r="G69" s="92"/>
      <c r="H69" s="93"/>
      <c r="I69" s="92"/>
    </row>
    <row r="70" spans="1:9" x14ac:dyDescent="0.25">
      <c r="A70" s="91"/>
      <c r="B70" s="91"/>
      <c r="C70" s="91"/>
      <c r="D70" s="91"/>
      <c r="E70" s="92"/>
      <c r="F70" s="93"/>
      <c r="G70" s="92"/>
      <c r="H70" s="93"/>
      <c r="I70" s="92"/>
    </row>
    <row r="71" spans="1:9" x14ac:dyDescent="0.25">
      <c r="A71" s="91"/>
      <c r="B71" s="91"/>
      <c r="C71" s="91"/>
      <c r="D71" s="91"/>
      <c r="E71" s="92"/>
      <c r="F71" s="93"/>
      <c r="G71" s="92"/>
      <c r="H71" s="93"/>
      <c r="I71" s="91"/>
    </row>
    <row r="72" spans="1:9" x14ac:dyDescent="0.25">
      <c r="A72" s="91"/>
      <c r="B72" s="91"/>
      <c r="C72" s="91"/>
      <c r="D72" s="91"/>
      <c r="E72" s="92"/>
      <c r="F72" s="93"/>
      <c r="G72" s="92"/>
      <c r="H72" s="93"/>
      <c r="I72" s="91"/>
    </row>
    <row r="73" spans="1:9" ht="14.4" x14ac:dyDescent="0.3">
      <c r="A73" s="91"/>
      <c r="B73" s="91"/>
      <c r="C73" s="91"/>
      <c r="D73" s="91"/>
      <c r="E73" s="91"/>
      <c r="F73" s="91"/>
      <c r="G73" s="91"/>
      <c r="H73" s="91"/>
      <c r="I73" s="97"/>
    </row>
    <row r="74" spans="1:9" ht="14.4" x14ac:dyDescent="0.3">
      <c r="A74" s="91"/>
      <c r="B74" s="91"/>
      <c r="C74" s="91"/>
      <c r="D74" s="91"/>
      <c r="E74" s="91"/>
      <c r="F74" s="91"/>
      <c r="G74" s="91"/>
      <c r="H74" s="91"/>
      <c r="I74" s="151"/>
    </row>
    <row r="75" spans="1:9" ht="14.4" x14ac:dyDescent="0.3">
      <c r="A75" s="91"/>
      <c r="B75" s="97"/>
      <c r="C75" s="97"/>
      <c r="D75" s="97"/>
      <c r="E75" s="97"/>
      <c r="F75" s="97"/>
      <c r="G75" s="97"/>
      <c r="H75" s="97"/>
      <c r="I75" s="91"/>
    </row>
    <row r="76" spans="1:9" ht="14.4" x14ac:dyDescent="0.3">
      <c r="A76" s="91"/>
      <c r="B76" s="151"/>
      <c r="C76" s="151"/>
      <c r="D76" s="151"/>
      <c r="E76" s="151"/>
      <c r="F76" s="151"/>
      <c r="G76" s="151"/>
      <c r="H76" s="151"/>
      <c r="I76" s="91"/>
    </row>
    <row r="77" spans="1:9" x14ac:dyDescent="0.25">
      <c r="A77" s="91"/>
      <c r="B77" s="91"/>
      <c r="C77" s="91"/>
      <c r="D77" s="91"/>
      <c r="E77" s="91"/>
      <c r="F77" s="91"/>
      <c r="G77" s="91"/>
      <c r="H77" s="95"/>
    </row>
    <row r="78" spans="1:9" x14ac:dyDescent="0.25">
      <c r="A78" s="91"/>
      <c r="B78" s="91"/>
      <c r="C78" s="91"/>
      <c r="D78" s="91"/>
      <c r="E78" s="91"/>
      <c r="F78" s="91"/>
      <c r="G78" s="91"/>
      <c r="H78" s="95"/>
    </row>
  </sheetData>
  <sheetProtection algorithmName="SHA-512" hashValue="JvVqh6tGJkaIh3OoBzYBLmOHPqKig1O4ks0UdYCEM+YmtLWmlqU/x4PpBYHI0w/Edj5keHzVS4cZy2CnC2IzHg==" saltValue="s4OX0E9ZtlRL/jxlxr1qJw==" spinCount="100000" sheet="1" objects="1" scenarios="1"/>
  <mergeCells count="23">
    <mergeCell ref="A31:K31"/>
    <mergeCell ref="B7:C7"/>
    <mergeCell ref="A14:A15"/>
    <mergeCell ref="B14:B15"/>
    <mergeCell ref="C14:D15"/>
    <mergeCell ref="E14:E15"/>
    <mergeCell ref="F14:F15"/>
    <mergeCell ref="G14:G15"/>
    <mergeCell ref="A24:A25"/>
    <mergeCell ref="C24:C25"/>
    <mergeCell ref="J14:K14"/>
    <mergeCell ref="J15:K15"/>
    <mergeCell ref="A16:A17"/>
    <mergeCell ref="S10:AD10"/>
    <mergeCell ref="C16:C23"/>
    <mergeCell ref="A18:A19"/>
    <mergeCell ref="J1:K1"/>
    <mergeCell ref="A2:K2"/>
    <mergeCell ref="A5:K5"/>
    <mergeCell ref="A4:K4"/>
    <mergeCell ref="A20:A21"/>
    <mergeCell ref="A22:A23"/>
    <mergeCell ref="H14:I15"/>
  </mergeCells>
  <hyperlinks>
    <hyperlink ref="J15" location="_ftn1" display="_ftn1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7"/>
  <sheetViews>
    <sheetView showGridLines="0" zoomScale="80" zoomScaleNormal="80" workbookViewId="0">
      <selection activeCell="F37" sqref="F37"/>
    </sheetView>
  </sheetViews>
  <sheetFormatPr baseColWidth="10" defaultRowHeight="13.2" x14ac:dyDescent="0.25"/>
  <cols>
    <col min="1" max="1" width="24.5546875" bestFit="1" customWidth="1"/>
    <col min="2" max="5" width="17.33203125" customWidth="1"/>
  </cols>
  <sheetData>
    <row r="1" spans="1:8" ht="14.4" x14ac:dyDescent="0.25">
      <c r="A1" s="152" t="s">
        <v>255</v>
      </c>
      <c r="B1" s="154"/>
      <c r="C1" s="154"/>
      <c r="D1" s="319" t="s">
        <v>256</v>
      </c>
      <c r="E1" s="319"/>
      <c r="F1" s="319"/>
    </row>
    <row r="2" spans="1:8" ht="33.6" x14ac:dyDescent="0.25">
      <c r="A2" s="342" t="s">
        <v>223</v>
      </c>
      <c r="B2" s="342"/>
      <c r="C2" s="342"/>
      <c r="D2" s="342"/>
      <c r="E2" s="342"/>
      <c r="F2" s="342"/>
      <c r="G2" s="155"/>
      <c r="H2" s="155"/>
    </row>
    <row r="3" spans="1:8" ht="17.399999999999999" x14ac:dyDescent="0.3">
      <c r="A3" s="358" t="s">
        <v>182</v>
      </c>
      <c r="B3" s="358"/>
      <c r="C3" s="358"/>
      <c r="D3" s="358"/>
      <c r="E3" s="358"/>
      <c r="F3" s="358"/>
      <c r="G3" s="41"/>
    </row>
    <row r="4" spans="1:8" ht="17.399999999999999" x14ac:dyDescent="0.3">
      <c r="A4" s="358" t="s">
        <v>104</v>
      </c>
      <c r="B4" s="358"/>
      <c r="C4" s="358"/>
      <c r="D4" s="358"/>
      <c r="E4" s="358"/>
      <c r="F4" s="358"/>
    </row>
    <row r="7" spans="1:8" ht="13.8" x14ac:dyDescent="0.25">
      <c r="A7" s="112" t="s">
        <v>18</v>
      </c>
      <c r="B7" s="385">
        <v>44197</v>
      </c>
      <c r="C7" s="385"/>
      <c r="D7" s="206"/>
      <c r="E7" s="206"/>
      <c r="F7" s="18"/>
      <c r="G7" s="18"/>
    </row>
    <row r="8" spans="1:8" ht="13.8" x14ac:dyDescent="0.25">
      <c r="A8" s="112" t="s">
        <v>17</v>
      </c>
      <c r="B8" s="392" t="s">
        <v>25</v>
      </c>
      <c r="C8" s="392"/>
      <c r="D8" s="206"/>
      <c r="E8" s="206"/>
      <c r="F8" s="18"/>
      <c r="G8" s="18"/>
    </row>
    <row r="9" spans="1:8" ht="13.8" x14ac:dyDescent="0.25">
      <c r="A9" s="112" t="s">
        <v>22</v>
      </c>
      <c r="B9" s="188" t="s">
        <v>235</v>
      </c>
      <c r="C9" s="188"/>
      <c r="D9" s="178"/>
      <c r="E9" s="178"/>
      <c r="F9" s="18"/>
      <c r="G9" s="18"/>
    </row>
    <row r="10" spans="1:8" x14ac:dyDescent="0.25">
      <c r="A10" s="2"/>
      <c r="B10" s="207"/>
      <c r="C10" s="208"/>
      <c r="D10" s="179"/>
      <c r="E10" s="179"/>
      <c r="F10" s="4"/>
      <c r="G10" s="4"/>
    </row>
    <row r="11" spans="1:8" ht="13.8" x14ac:dyDescent="0.25">
      <c r="A11" s="100" t="s">
        <v>190</v>
      </c>
      <c r="B11" s="165">
        <v>1589.47</v>
      </c>
      <c r="C11" s="208"/>
      <c r="D11" s="179"/>
      <c r="E11" s="179"/>
      <c r="F11" s="4"/>
      <c r="G11" s="4"/>
    </row>
    <row r="12" spans="1:8" ht="33" customHeight="1" x14ac:dyDescent="0.25">
      <c r="A12" s="14"/>
      <c r="B12" s="179"/>
      <c r="C12" s="179"/>
      <c r="D12" s="179"/>
      <c r="E12" s="179"/>
      <c r="F12" s="10"/>
      <c r="G12" s="60"/>
      <c r="H12" s="59"/>
    </row>
    <row r="13" spans="1:8" ht="15.75" customHeight="1" x14ac:dyDescent="0.25">
      <c r="A13" s="361" t="s">
        <v>1</v>
      </c>
      <c r="B13" s="366" t="s">
        <v>233</v>
      </c>
      <c r="C13" s="354" t="s">
        <v>23</v>
      </c>
      <c r="D13" s="389"/>
      <c r="E13" s="355"/>
      <c r="F13" s="10"/>
      <c r="G13" s="22"/>
    </row>
    <row r="14" spans="1:8" ht="15.75" customHeight="1" x14ac:dyDescent="0.25">
      <c r="A14" s="362"/>
      <c r="B14" s="362"/>
      <c r="C14" s="390" t="s">
        <v>273</v>
      </c>
      <c r="D14" s="391"/>
      <c r="E14" s="244" t="s">
        <v>274</v>
      </c>
      <c r="F14" s="14"/>
    </row>
    <row r="15" spans="1:8" ht="15" x14ac:dyDescent="0.25">
      <c r="A15" s="363"/>
      <c r="B15" s="363"/>
      <c r="C15" s="245" t="s">
        <v>163</v>
      </c>
      <c r="D15" s="244" t="s">
        <v>272</v>
      </c>
      <c r="E15" s="244" t="s">
        <v>21</v>
      </c>
      <c r="F15" s="23"/>
    </row>
    <row r="16" spans="1:8" ht="24.75" customHeight="1" x14ac:dyDescent="0.25">
      <c r="A16" s="233" t="s">
        <v>0</v>
      </c>
      <c r="B16" s="246">
        <v>19073.64</v>
      </c>
      <c r="C16" s="247">
        <f>B16*70%/12</f>
        <v>1112.6289999999999</v>
      </c>
      <c r="D16" s="247">
        <f>B16*80%/12</f>
        <v>1271.576</v>
      </c>
      <c r="E16" s="248">
        <f>IF(B16*85%/12&lt;B11,B11,B16*85%/12)</f>
        <v>1589.47</v>
      </c>
    </row>
    <row r="17" spans="1:11" ht="24.75" customHeight="1" x14ac:dyDescent="0.25">
      <c r="A17" s="233" t="s">
        <v>7</v>
      </c>
      <c r="B17" s="246">
        <v>20239</v>
      </c>
      <c r="C17" s="247">
        <f t="shared" ref="C17:C26" si="0">B17*70%/12</f>
        <v>1180.6083333333333</v>
      </c>
      <c r="D17" s="247">
        <f t="shared" ref="D17:D26" si="1">B17*80%/12</f>
        <v>1349.2666666666667</v>
      </c>
      <c r="E17" s="248">
        <f>IF(B17*85%/12&lt;B11,B11,B17*85%/12)</f>
        <v>1589.47</v>
      </c>
    </row>
    <row r="18" spans="1:11" ht="24.75" customHeight="1" x14ac:dyDescent="0.25">
      <c r="A18" s="233" t="s">
        <v>2</v>
      </c>
      <c r="B18" s="246">
        <v>21987</v>
      </c>
      <c r="C18" s="247">
        <f t="shared" si="0"/>
        <v>1282.575</v>
      </c>
      <c r="D18" s="247">
        <f t="shared" si="1"/>
        <v>1465.8000000000002</v>
      </c>
      <c r="E18" s="248">
        <f>IF(B18*85%/12&lt;B11,B11,B18*85%/12)</f>
        <v>1589.47</v>
      </c>
    </row>
    <row r="19" spans="1:11" ht="24.75" customHeight="1" x14ac:dyDescent="0.25">
      <c r="A19" s="233" t="s">
        <v>8</v>
      </c>
      <c r="B19" s="246">
        <v>23735</v>
      </c>
      <c r="C19" s="247">
        <f t="shared" si="0"/>
        <v>1384.5416666666667</v>
      </c>
      <c r="D19" s="247">
        <f t="shared" si="1"/>
        <v>1582.3333333333333</v>
      </c>
      <c r="E19" s="248">
        <f>IF(B19*85%/12&lt;B11,B11,B19*85%/12)</f>
        <v>1681.2291666666667</v>
      </c>
      <c r="F19" s="24"/>
    </row>
    <row r="20" spans="1:11" ht="24.75" customHeight="1" x14ac:dyDescent="0.25">
      <c r="A20" s="233" t="s">
        <v>9</v>
      </c>
      <c r="B20" s="246">
        <v>24822</v>
      </c>
      <c r="C20" s="247">
        <f t="shared" si="0"/>
        <v>1447.9499999999998</v>
      </c>
      <c r="D20" s="247">
        <f t="shared" si="1"/>
        <v>1654.8000000000002</v>
      </c>
      <c r="E20" s="248">
        <f>IF(B20*85%/12&lt;B11,B11,B20*85%/12)</f>
        <v>1758.2250000000001</v>
      </c>
      <c r="F20" s="24"/>
    </row>
    <row r="21" spans="1:11" ht="24.75" customHeight="1" x14ac:dyDescent="0.25">
      <c r="A21" s="233" t="s">
        <v>10</v>
      </c>
      <c r="B21" s="246">
        <v>25909</v>
      </c>
      <c r="C21" s="247">
        <f t="shared" si="0"/>
        <v>1511.3583333333333</v>
      </c>
      <c r="D21" s="247">
        <f t="shared" si="1"/>
        <v>1727.2666666666667</v>
      </c>
      <c r="E21" s="248">
        <f>IF(B21*85%/12&lt;B11,B11,B21*85%/12)</f>
        <v>1835.2208333333331</v>
      </c>
      <c r="F21" s="24"/>
    </row>
    <row r="22" spans="1:11" ht="24.75" customHeight="1" x14ac:dyDescent="0.25">
      <c r="A22" s="233" t="s">
        <v>11</v>
      </c>
      <c r="B22" s="246">
        <v>28151</v>
      </c>
      <c r="C22" s="247">
        <f t="shared" si="0"/>
        <v>1642.1416666666664</v>
      </c>
      <c r="D22" s="247">
        <f t="shared" si="1"/>
        <v>1876.7333333333336</v>
      </c>
      <c r="E22" s="248">
        <f>IF(B22*85%/12&lt;B11,B11,B22*85%/12)</f>
        <v>1994.0291666666665</v>
      </c>
      <c r="F22" s="24"/>
    </row>
    <row r="23" spans="1:11" ht="24.75" customHeight="1" x14ac:dyDescent="0.25">
      <c r="A23" s="233" t="s">
        <v>13</v>
      </c>
      <c r="B23" s="246">
        <v>32470</v>
      </c>
      <c r="C23" s="247">
        <f t="shared" si="0"/>
        <v>1894.0833333333333</v>
      </c>
      <c r="D23" s="247">
        <f t="shared" si="1"/>
        <v>2164.6666666666665</v>
      </c>
      <c r="E23" s="248">
        <f>IF(B23*85%/12&lt;B11,B11,B23*85%/12)</f>
        <v>2299.9583333333335</v>
      </c>
      <c r="F23" s="24"/>
    </row>
    <row r="24" spans="1:11" ht="24.75" customHeight="1" x14ac:dyDescent="0.25">
      <c r="A24" s="233" t="s">
        <v>14</v>
      </c>
      <c r="B24" s="246">
        <v>37147</v>
      </c>
      <c r="C24" s="247">
        <f t="shared" si="0"/>
        <v>2166.9083333333333</v>
      </c>
      <c r="D24" s="247">
        <f t="shared" si="1"/>
        <v>2476.4666666666667</v>
      </c>
      <c r="E24" s="248">
        <f>IF(B24*85%/12&lt;B11,B11,B24*85%/12)</f>
        <v>2631.2458333333334</v>
      </c>
      <c r="F24" s="24"/>
    </row>
    <row r="25" spans="1:11" ht="24.75" customHeight="1" x14ac:dyDescent="0.25">
      <c r="A25" s="233" t="s">
        <v>15</v>
      </c>
      <c r="B25" s="246">
        <v>41656</v>
      </c>
      <c r="C25" s="247">
        <f t="shared" si="0"/>
        <v>2429.9333333333329</v>
      </c>
      <c r="D25" s="247">
        <f t="shared" si="1"/>
        <v>2777.0666666666671</v>
      </c>
      <c r="E25" s="248">
        <f>IF(B25*85%/12&lt;B11,B11,B25*85%/12)</f>
        <v>2950.6333333333332</v>
      </c>
      <c r="F25" s="24"/>
    </row>
    <row r="26" spans="1:11" ht="24.75" customHeight="1" x14ac:dyDescent="0.25">
      <c r="A26" s="233" t="s">
        <v>16</v>
      </c>
      <c r="B26" s="246">
        <v>51004</v>
      </c>
      <c r="C26" s="247">
        <f t="shared" si="0"/>
        <v>2975.2333333333331</v>
      </c>
      <c r="D26" s="247">
        <f t="shared" si="1"/>
        <v>3400.2666666666669</v>
      </c>
      <c r="E26" s="248">
        <f>IF(B26*85%/12&lt;B11,B11,B26*85%/12)</f>
        <v>3612.7833333333333</v>
      </c>
      <c r="F26" s="24"/>
    </row>
    <row r="27" spans="1:11" ht="15.6" x14ac:dyDescent="0.25">
      <c r="A27" s="80"/>
      <c r="B27" s="86"/>
      <c r="C27" s="79"/>
      <c r="D27" s="79"/>
      <c r="E27" s="40"/>
      <c r="F27" s="24"/>
    </row>
    <row r="28" spans="1:11" ht="15.6" x14ac:dyDescent="0.25">
      <c r="A28" s="80"/>
      <c r="C28" s="21"/>
      <c r="D28" s="21"/>
    </row>
    <row r="29" spans="1:11" x14ac:dyDescent="0.25">
      <c r="A29" s="42" t="s">
        <v>24</v>
      </c>
      <c r="B29" s="43"/>
      <c r="C29" s="43"/>
      <c r="D29" s="43"/>
      <c r="E29" s="44"/>
    </row>
    <row r="30" spans="1:11" s="59" customFormat="1" x14ac:dyDescent="0.25">
      <c r="A30" s="131" t="s">
        <v>27</v>
      </c>
      <c r="B30" s="210" t="s">
        <v>72</v>
      </c>
      <c r="C30" s="210"/>
      <c r="D30" s="210"/>
      <c r="E30" s="211"/>
      <c r="F30" s="164"/>
      <c r="G30"/>
      <c r="H30"/>
      <c r="I30"/>
      <c r="J30"/>
      <c r="K30"/>
    </row>
    <row r="31" spans="1:11" s="59" customFormat="1" x14ac:dyDescent="0.25">
      <c r="A31" s="131" t="s">
        <v>28</v>
      </c>
      <c r="B31" s="210" t="s">
        <v>73</v>
      </c>
      <c r="C31" s="210"/>
      <c r="D31" s="210"/>
      <c r="E31" s="211"/>
      <c r="F31" s="164"/>
      <c r="G31"/>
      <c r="H31"/>
      <c r="I31"/>
      <c r="J31"/>
      <c r="K31"/>
    </row>
    <row r="32" spans="1:11" s="59" customFormat="1" ht="12" customHeight="1" x14ac:dyDescent="0.25">
      <c r="A32" s="132" t="s">
        <v>186</v>
      </c>
      <c r="B32" s="212" t="s">
        <v>185</v>
      </c>
      <c r="C32" s="210"/>
      <c r="D32" s="182"/>
      <c r="E32" s="183"/>
      <c r="F32" s="213"/>
      <c r="G32"/>
      <c r="H32"/>
      <c r="I32"/>
      <c r="J32"/>
      <c r="K32"/>
    </row>
    <row r="33" spans="1:6" ht="32.25" customHeight="1" x14ac:dyDescent="0.25">
      <c r="A33" s="214" t="s">
        <v>29</v>
      </c>
      <c r="B33" s="76"/>
      <c r="C33" s="76"/>
      <c r="D33" s="76"/>
      <c r="E33" s="78"/>
      <c r="F33" s="60"/>
    </row>
    <row r="34" spans="1:6" x14ac:dyDescent="0.25">
      <c r="A34" s="352" t="s">
        <v>74</v>
      </c>
      <c r="B34" s="353"/>
      <c r="C34" s="353"/>
      <c r="D34" s="353"/>
      <c r="E34" s="364"/>
      <c r="F34" s="60"/>
    </row>
    <row r="35" spans="1:6" x14ac:dyDescent="0.25">
      <c r="A35" s="388"/>
      <c r="B35" s="388"/>
      <c r="C35" s="388"/>
      <c r="D35" s="388"/>
      <c r="E35" s="388"/>
      <c r="F35" s="22"/>
    </row>
    <row r="36" spans="1:6" ht="14.4" x14ac:dyDescent="0.25">
      <c r="A36" s="85"/>
    </row>
    <row r="37" spans="1:6" ht="14.4" x14ac:dyDescent="0.3">
      <c r="E37" s="149" t="s">
        <v>265</v>
      </c>
      <c r="F37" s="29" t="s">
        <v>332</v>
      </c>
    </row>
  </sheetData>
  <sheetProtection algorithmName="SHA-512" hashValue="i8fLBLZFYMcDGEC8XV5HzsalLwfTRHUOr3j1j6Kad5PVcANnWSlcIUdWGmh7KdL5Bm1a4ih1earst8/oGaYdyg==" saltValue="M9IpQVTy0EtRsm6je/XQOA==" spinCount="100000" sheet="1" objects="1" scenarios="1"/>
  <mergeCells count="12">
    <mergeCell ref="D1:F1"/>
    <mergeCell ref="A2:F2"/>
    <mergeCell ref="A34:E34"/>
    <mergeCell ref="A35:E35"/>
    <mergeCell ref="A13:A15"/>
    <mergeCell ref="C13:E13"/>
    <mergeCell ref="C14:D14"/>
    <mergeCell ref="B7:C7"/>
    <mergeCell ref="B8:C8"/>
    <mergeCell ref="B13:B15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3"/>
  <sheetViews>
    <sheetView showGridLines="0" zoomScale="80" zoomScaleNormal="80" workbookViewId="0">
      <selection activeCell="H33" sqref="H33"/>
    </sheetView>
  </sheetViews>
  <sheetFormatPr baseColWidth="10" defaultRowHeight="13.2" x14ac:dyDescent="0.25"/>
  <cols>
    <col min="1" max="1" width="20" customWidth="1"/>
    <col min="2" max="2" width="16" customWidth="1"/>
    <col min="3" max="3" width="15.88671875" customWidth="1"/>
    <col min="4" max="4" width="19" customWidth="1"/>
    <col min="5" max="5" width="6.5546875" customWidth="1"/>
  </cols>
  <sheetData>
    <row r="1" spans="1:11" ht="14.4" x14ac:dyDescent="0.25">
      <c r="A1" s="152" t="s">
        <v>255</v>
      </c>
      <c r="B1" s="154"/>
      <c r="C1" s="154"/>
      <c r="D1" s="154"/>
      <c r="E1" s="154"/>
      <c r="F1" s="319" t="s">
        <v>256</v>
      </c>
      <c r="G1" s="319"/>
      <c r="H1" s="319"/>
    </row>
    <row r="2" spans="1:11" ht="33.6" x14ac:dyDescent="0.25">
      <c r="A2" s="342" t="s">
        <v>224</v>
      </c>
      <c r="B2" s="342"/>
      <c r="C2" s="342"/>
      <c r="D2" s="342"/>
      <c r="E2" s="342"/>
      <c r="F2" s="342"/>
      <c r="G2" s="342"/>
      <c r="H2" s="342"/>
    </row>
    <row r="3" spans="1:11" ht="17.399999999999999" x14ac:dyDescent="0.3">
      <c r="A3" s="358" t="s">
        <v>182</v>
      </c>
      <c r="B3" s="358"/>
      <c r="C3" s="358"/>
      <c r="D3" s="358"/>
      <c r="E3" s="358"/>
      <c r="F3" s="358"/>
      <c r="G3" s="358"/>
      <c r="H3" s="358"/>
    </row>
    <row r="4" spans="1:11" ht="17.399999999999999" x14ac:dyDescent="0.3">
      <c r="A4" s="358" t="s">
        <v>104</v>
      </c>
      <c r="B4" s="358"/>
      <c r="C4" s="358"/>
      <c r="D4" s="358"/>
      <c r="E4" s="358"/>
      <c r="F4" s="358"/>
      <c r="G4" s="358"/>
      <c r="H4" s="358"/>
    </row>
    <row r="7" spans="1:11" ht="13.8" x14ac:dyDescent="0.25">
      <c r="A7" s="112" t="s">
        <v>18</v>
      </c>
      <c r="B7" s="215">
        <v>44470</v>
      </c>
      <c r="C7" s="113"/>
      <c r="D7" s="18"/>
      <c r="E7" s="32"/>
      <c r="F7" s="18"/>
      <c r="G7" s="18"/>
    </row>
    <row r="8" spans="1:11" ht="13.8" x14ac:dyDescent="0.25">
      <c r="A8" s="112" t="s">
        <v>17</v>
      </c>
      <c r="B8" s="188" t="s">
        <v>25</v>
      </c>
      <c r="C8" s="114"/>
      <c r="D8" s="114"/>
      <c r="E8" s="32"/>
      <c r="F8" s="18"/>
      <c r="G8" s="18"/>
    </row>
    <row r="9" spans="1:11" ht="13.8" x14ac:dyDescent="0.25">
      <c r="A9" s="112" t="s">
        <v>22</v>
      </c>
      <c r="B9" s="188" t="s">
        <v>236</v>
      </c>
      <c r="C9" s="114"/>
      <c r="D9" s="114"/>
      <c r="E9" s="33"/>
      <c r="F9" s="18"/>
      <c r="G9" s="18"/>
    </row>
    <row r="10" spans="1:11" ht="13.8" x14ac:dyDescent="0.25">
      <c r="A10" s="32"/>
      <c r="B10" s="114"/>
      <c r="C10" s="114"/>
      <c r="D10" s="114"/>
      <c r="E10" s="33"/>
      <c r="F10" s="18"/>
      <c r="G10" s="18"/>
    </row>
    <row r="11" spans="1:11" ht="20.399999999999999" customHeight="1" x14ac:dyDescent="0.25">
      <c r="A11" s="73" t="s">
        <v>190</v>
      </c>
      <c r="C11" s="165">
        <v>1589.47</v>
      </c>
    </row>
    <row r="12" spans="1:11" s="38" customFormat="1" ht="21.9" customHeight="1" x14ac:dyDescent="0.25">
      <c r="A12" s="32"/>
      <c r="B12" s="33"/>
      <c r="C12" s="33"/>
      <c r="D12" s="33"/>
      <c r="E12" s="33"/>
      <c r="F12" s="18"/>
      <c r="G12" s="18"/>
      <c r="H12"/>
      <c r="I12" s="122"/>
    </row>
    <row r="13" spans="1:11" s="38" customFormat="1" ht="18.899999999999999" customHeight="1" x14ac:dyDescent="0.25">
      <c r="A13" s="402" t="s">
        <v>1</v>
      </c>
      <c r="B13" s="361" t="s">
        <v>64</v>
      </c>
      <c r="C13" s="356" t="s">
        <v>23</v>
      </c>
      <c r="D13" s="356"/>
      <c r="E13"/>
      <c r="F13"/>
      <c r="G13"/>
      <c r="H13"/>
      <c r="I13" s="120"/>
      <c r="J13" s="121"/>
      <c r="K13" s="120"/>
    </row>
    <row r="14" spans="1:11" ht="27" customHeight="1" x14ac:dyDescent="0.25">
      <c r="A14" s="402"/>
      <c r="B14" s="362"/>
      <c r="C14" s="233" t="s">
        <v>62</v>
      </c>
      <c r="D14" s="233" t="s">
        <v>63</v>
      </c>
      <c r="E14" s="38"/>
      <c r="F14" s="38"/>
      <c r="G14" s="38"/>
      <c r="H14" s="38"/>
      <c r="I14" s="115"/>
      <c r="J14" s="115"/>
      <c r="K14" s="115"/>
    </row>
    <row r="15" spans="1:11" ht="27" customHeight="1" x14ac:dyDescent="0.25">
      <c r="A15" s="402"/>
      <c r="B15" s="363"/>
      <c r="C15" s="356" t="s">
        <v>150</v>
      </c>
      <c r="D15" s="356"/>
      <c r="E15" s="38"/>
      <c r="F15" s="38"/>
      <c r="G15" s="38"/>
      <c r="H15" s="38"/>
      <c r="I15" s="115"/>
      <c r="J15" s="102"/>
      <c r="K15" s="115"/>
    </row>
    <row r="16" spans="1:11" ht="27" customHeight="1" x14ac:dyDescent="0.25">
      <c r="A16" s="234" t="s">
        <v>54</v>
      </c>
      <c r="B16" s="235">
        <v>19411</v>
      </c>
      <c r="C16" s="209">
        <f>IF(B16*70%/12&lt;(C11*80%),(C11*80%))</f>
        <v>1271.576</v>
      </c>
      <c r="D16" s="209">
        <f>IF(B16*85%/12&lt;C11,C11)</f>
        <v>1589.47</v>
      </c>
      <c r="E16" s="40"/>
      <c r="I16" s="115"/>
      <c r="J16" s="102"/>
      <c r="K16" s="115"/>
    </row>
    <row r="17" spans="1:11" ht="27" customHeight="1" x14ac:dyDescent="0.25">
      <c r="A17" s="234" t="s">
        <v>55</v>
      </c>
      <c r="B17" s="235">
        <v>20702</v>
      </c>
      <c r="C17" s="209">
        <f>IF(B17*70%/12&lt;(C11*80%),(C11*80%))</f>
        <v>1271.576</v>
      </c>
      <c r="D17" s="209">
        <f>IF(B17*85%/12&lt;C11,C11)</f>
        <v>1589.47</v>
      </c>
      <c r="E17" s="40"/>
      <c r="I17" s="115"/>
      <c r="J17" s="102"/>
      <c r="K17" s="115"/>
    </row>
    <row r="18" spans="1:11" ht="27" customHeight="1" x14ac:dyDescent="0.25">
      <c r="A18" s="234" t="s">
        <v>56</v>
      </c>
      <c r="B18" s="235">
        <v>21996</v>
      </c>
      <c r="C18" s="209">
        <f>IF(B18*70%/12&gt;(C11*80%),(B18*70%/12))</f>
        <v>1283.0999999999999</v>
      </c>
      <c r="D18" s="209">
        <f>IF(B18*85%/12&lt;C11,C11,B18*85%/12)</f>
        <v>1589.47</v>
      </c>
      <c r="E18" s="40"/>
      <c r="I18" s="115"/>
      <c r="J18" s="102"/>
      <c r="K18" s="115"/>
    </row>
    <row r="19" spans="1:11" ht="27" customHeight="1" x14ac:dyDescent="0.25">
      <c r="A19" s="234" t="s">
        <v>57</v>
      </c>
      <c r="B19" s="235">
        <v>24487</v>
      </c>
      <c r="C19" s="209">
        <f>IF(B19*70%/12&gt;(C11*80%),(B19*70%/12))</f>
        <v>1428.4083333333331</v>
      </c>
      <c r="D19" s="209">
        <f>IF(B19*85%/12&lt;C11,C11,B19*85%/12)</f>
        <v>1734.4958333333334</v>
      </c>
      <c r="E19" s="40"/>
      <c r="I19" s="115"/>
      <c r="J19" s="102"/>
      <c r="K19" s="115"/>
    </row>
    <row r="20" spans="1:11" ht="27" customHeight="1" x14ac:dyDescent="0.25">
      <c r="A20" s="234" t="s">
        <v>58</v>
      </c>
      <c r="B20" s="235">
        <v>28576</v>
      </c>
      <c r="C20" s="209">
        <f>IF(B20*70%/12&gt;(C11*80%),(B20*70%/12))</f>
        <v>1666.9333333333332</v>
      </c>
      <c r="D20" s="209">
        <f>IF(B20*85%/12&lt;C11,C11,B20*85%/12)</f>
        <v>2024.1333333333332</v>
      </c>
      <c r="E20" s="40"/>
      <c r="I20" s="115"/>
      <c r="J20" s="102"/>
      <c r="K20" s="115"/>
    </row>
    <row r="21" spans="1:11" ht="27" customHeight="1" x14ac:dyDescent="0.25">
      <c r="A21" s="234" t="s">
        <v>59</v>
      </c>
      <c r="B21" s="235">
        <v>33911</v>
      </c>
      <c r="C21" s="209">
        <f>IF(B21*70%/12&gt;(C11*80%),(B21*70%/12))</f>
        <v>1978.1416666666664</v>
      </c>
      <c r="D21" s="209">
        <f>IF(B21*85%/12&lt;C11,C11,B21*85%/12)</f>
        <v>2402.0291666666667</v>
      </c>
      <c r="E21" s="40"/>
      <c r="I21" s="115"/>
      <c r="J21" s="102"/>
      <c r="K21" s="115"/>
    </row>
    <row r="22" spans="1:11" ht="27" customHeight="1" x14ac:dyDescent="0.25">
      <c r="A22" s="234" t="s">
        <v>60</v>
      </c>
      <c r="B22" s="235">
        <v>39370</v>
      </c>
      <c r="C22" s="209">
        <f>IF(B22*70%/12&gt;(C11*80%),(B22*70%/12))</f>
        <v>2296.5833333333335</v>
      </c>
      <c r="D22" s="209">
        <f>IF(B22*85%/12&lt;C11,C11,B22*85%/12)</f>
        <v>2788.7083333333335</v>
      </c>
      <c r="E22" s="40"/>
    </row>
    <row r="23" spans="1:11" ht="15.6" x14ac:dyDescent="0.25">
      <c r="A23" s="234" t="s">
        <v>61</v>
      </c>
      <c r="B23" s="235">
        <v>48259</v>
      </c>
      <c r="C23" s="209">
        <f>IF(B23*70%/12&gt;(C11*80%),(B23*70%/12))</f>
        <v>2815.1083333333331</v>
      </c>
      <c r="D23" s="209">
        <f>IF(B23*85%/12&lt;C11,C11,B23*85%/12)</f>
        <v>3418.3458333333333</v>
      </c>
      <c r="E23" s="40"/>
    </row>
    <row r="25" spans="1:11" x14ac:dyDescent="0.25">
      <c r="A25" s="393" t="s">
        <v>24</v>
      </c>
      <c r="B25" s="394"/>
      <c r="C25" s="394"/>
      <c r="D25" s="394"/>
      <c r="E25" s="394"/>
      <c r="F25" s="394"/>
      <c r="G25" s="394"/>
      <c r="H25" s="395"/>
    </row>
    <row r="26" spans="1:11" ht="13.8" x14ac:dyDescent="0.25">
      <c r="A26" s="140" t="s">
        <v>62</v>
      </c>
      <c r="B26" s="216" t="s">
        <v>65</v>
      </c>
      <c r="C26" s="217"/>
      <c r="D26" s="217"/>
      <c r="E26" s="217"/>
      <c r="F26" s="217"/>
      <c r="G26" s="139"/>
      <c r="H26" s="141"/>
    </row>
    <row r="27" spans="1:11" ht="13.8" x14ac:dyDescent="0.25">
      <c r="A27" s="140" t="s">
        <v>63</v>
      </c>
      <c r="B27" s="216" t="s">
        <v>66</v>
      </c>
      <c r="C27" s="217"/>
      <c r="D27" s="217"/>
      <c r="E27" s="217"/>
      <c r="F27" s="217"/>
      <c r="G27" s="139"/>
      <c r="H27" s="141"/>
    </row>
    <row r="28" spans="1:11" ht="12.6" customHeight="1" x14ac:dyDescent="0.25">
      <c r="A28" s="142"/>
      <c r="B28" s="139"/>
      <c r="C28" s="139"/>
      <c r="D28" s="139"/>
      <c r="E28" s="139"/>
      <c r="F28" s="139"/>
      <c r="G28" s="139"/>
      <c r="H28" s="141"/>
    </row>
    <row r="29" spans="1:11" x14ac:dyDescent="0.25">
      <c r="A29" s="143" t="s">
        <v>29</v>
      </c>
      <c r="B29" s="139"/>
      <c r="C29" s="139"/>
      <c r="D29" s="139"/>
      <c r="E29" s="139"/>
      <c r="F29" s="139"/>
      <c r="G29" s="139"/>
      <c r="H29" s="141"/>
    </row>
    <row r="30" spans="1:11" x14ac:dyDescent="0.25">
      <c r="A30" s="396"/>
      <c r="B30" s="397"/>
      <c r="C30" s="397"/>
      <c r="D30" s="397"/>
      <c r="E30" s="397"/>
      <c r="F30" s="397"/>
      <c r="G30" s="397"/>
      <c r="H30" s="398"/>
    </row>
    <row r="31" spans="1:11" x14ac:dyDescent="0.25">
      <c r="A31" s="399" t="s">
        <v>194</v>
      </c>
      <c r="B31" s="400"/>
      <c r="C31" s="400"/>
      <c r="D31" s="400"/>
      <c r="E31" s="400"/>
      <c r="F31" s="400"/>
      <c r="G31" s="400"/>
      <c r="H31" s="401"/>
    </row>
    <row r="33" spans="7:8" ht="14.4" x14ac:dyDescent="0.3">
      <c r="G33" s="149" t="s">
        <v>258</v>
      </c>
      <c r="H33" s="29" t="s">
        <v>332</v>
      </c>
    </row>
  </sheetData>
  <sheetProtection algorithmName="SHA-512" hashValue="J0W6/qd085SUs+BPhgwhNcAHU+XlXNrkEQzzdgxr8WAE9hp6mq5sbZ7BV4ef72AC6u7HAHjOCbtNBK1m+DmH+Q==" saltValue="2BbIXNWZM7cXNqo1C+zlTg==" spinCount="100000" sheet="1" objects="1" scenarios="1"/>
  <mergeCells count="11">
    <mergeCell ref="A31:H31"/>
    <mergeCell ref="C15:D15"/>
    <mergeCell ref="B13:B15"/>
    <mergeCell ref="A13:A15"/>
    <mergeCell ref="C13:D13"/>
    <mergeCell ref="A2:H2"/>
    <mergeCell ref="F1:H1"/>
    <mergeCell ref="A3:H3"/>
    <mergeCell ref="A25:H25"/>
    <mergeCell ref="A30:H30"/>
    <mergeCell ref="A4:H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SOMMAIRE</vt:lpstr>
      <vt:lpstr>DUREE</vt:lpstr>
      <vt:lpstr>LEGAL</vt:lpstr>
      <vt:lpstr>Agents généraux d'assurance</vt:lpstr>
      <vt:lpstr>Banque</vt:lpstr>
      <vt:lpstr>Banque populaire</vt:lpstr>
      <vt:lpstr>Bureaux d'études</vt:lpstr>
      <vt:lpstr>Caisse d'épargne</vt:lpstr>
      <vt:lpstr>Courtage d'assurance</vt:lpstr>
      <vt:lpstr>Crédit mutuel</vt:lpstr>
      <vt:lpstr>Economistes de la construction</vt:lpstr>
      <vt:lpstr>Experts comptables et CAC</vt:lpstr>
      <vt:lpstr>Géomètres experts</vt:lpstr>
      <vt:lpstr>Sociétés d'assistance</vt:lpstr>
      <vt:lpstr>Sociétés d'assurance</vt:lpstr>
      <vt:lpstr>Sociétés financières</vt:lpstr>
      <vt:lpstr>'Bureaux d''études'!_ftn1</vt:lpstr>
      <vt:lpstr>'Agents généraux d''assurance'!Zone_d_impression</vt:lpstr>
      <vt:lpstr>Banque!Zone_d_impression</vt:lpstr>
      <vt:lpstr>'Banque populaire'!Zone_d_impression</vt:lpstr>
      <vt:lpstr>'Bureaux d''études'!Zone_d_impression</vt:lpstr>
      <vt:lpstr>'Caisse d''épargne'!Zone_d_impression</vt:lpstr>
      <vt:lpstr>'Courtage d''assurance'!Zone_d_impression</vt:lpstr>
      <vt:lpstr>'Crédit mutuel'!Zone_d_impression</vt:lpstr>
      <vt:lpstr>DUREE!Zone_d_impression</vt:lpstr>
      <vt:lpstr>'Economistes de la construction'!Zone_d_impression</vt:lpstr>
      <vt:lpstr>'Experts comptables et CAC'!Zone_d_impression</vt:lpstr>
      <vt:lpstr>'Géomètres experts'!Zone_d_impression</vt:lpstr>
      <vt:lpstr>LEGAL!Zone_d_impression</vt:lpstr>
      <vt:lpstr>'Sociétés d''assistance'!Zone_d_impression</vt:lpstr>
      <vt:lpstr>'Sociétés d''assurance'!Zone_d_impression</vt:lpstr>
      <vt:lpstr>'Sociétés financières'!Zone_d_impression</vt:lpstr>
    </vt:vector>
  </TitlesOfParts>
  <Company>GPSA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Leïla BEKHTI</dc:creator>
  <cp:lastModifiedBy>MADIGOU Emilie</cp:lastModifiedBy>
  <cp:lastPrinted>2021-11-19T10:05:40Z</cp:lastPrinted>
  <dcterms:created xsi:type="dcterms:W3CDTF">2005-10-04T07:41:09Z</dcterms:created>
  <dcterms:modified xsi:type="dcterms:W3CDTF">2021-11-19T10:07:51Z</dcterms:modified>
</cp:coreProperties>
</file>